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defaultThemeVersion="124226"/>
  <mc:AlternateContent xmlns:mc="http://schemas.openxmlformats.org/markup-compatibility/2006">
    <mc:Choice Requires="x15">
      <x15ac:absPath xmlns:x15ac="http://schemas.microsoft.com/office/spreadsheetml/2010/11/ac" url="C:\Users\ngz357.UNICPH\Documents\My Data Sources\UV-UR-data\Test\"/>
    </mc:Choice>
  </mc:AlternateContent>
  <xr:revisionPtr revIDLastSave="0" documentId="13_ncr:1_{ECC9E177-D40F-4409-A3BA-1BBED7F66D4F}" xr6:coauthVersionLast="47" xr6:coauthVersionMax="47" xr10:uidLastSave="{00000000-0000-0000-0000-000000000000}"/>
  <bookViews>
    <workbookView xWindow="-120" yWindow="-120" windowWidth="29040" windowHeight="15840" tabRatio="629" xr2:uid="{00000000-000D-0000-FFFF-FFFF00000000}"/>
  </bookViews>
  <sheets>
    <sheet name="1-UR-h-registration-summary" sheetId="11" r:id="rId1"/>
    <sheet name="2-Medicine" sheetId="3" r:id="rId2"/>
    <sheet name="3-Odont-HumBio-MolBio-NeuroSci" sheetId="21" r:id="rId3"/>
    <sheet name="4-MedTek-ITS-FSV-Farm" sheetId="22" r:id="rId4"/>
    <sheet name="5-UR-h-norm-catalogue-DK" sheetId="27" r:id="rId5"/>
    <sheet name="6-UR-h-norm-catalogue-UK" sheetId="28" r:id="rId6"/>
  </sheets>
  <definedNames>
    <definedName name="_xlnm._FilterDatabase" localSheetId="0" hidden="1">'1-UR-h-registration-summary'!#REF!</definedName>
    <definedName name="_xlnm._FilterDatabase" localSheetId="1" hidden="1">'2-Medicine'!$N$1:$AA$77</definedName>
    <definedName name="_xlnm._FilterDatabase" localSheetId="2" hidden="1">'3-Odont-HumBio-MolBio-NeuroSci'!$N$1:$AA$77</definedName>
    <definedName name="_xlnm._FilterDatabase" localSheetId="3" hidden="1">'4-MedTek-ITS-FSV-Farm'!$N$1:$AA$77</definedName>
    <definedName name="AKTIVITET" localSheetId="0">'1-UR-h-registration-summary'!#REF!</definedName>
    <definedName name="AKTIVITET" localSheetId="2">'3-Odont-HumBio-MolBio-NeuroSci'!$N$1:$AA$86</definedName>
    <definedName name="AKTIVITET" localSheetId="3">'4-MedTek-ITS-FSV-Farm'!$N$1:$AA$86</definedName>
    <definedName name="AKTIVITET">'2-Medicine'!$N$1:$AA$86</definedName>
    <definedName name="_xlnm.Print_Area" localSheetId="0">'1-UR-h-registration-summary'!$A$1:$I$34</definedName>
    <definedName name="_xlnm.Print_Area" localSheetId="1">'2-Medicine'!$A$1:$L$60</definedName>
    <definedName name="_xlnm.Print_Area" localSheetId="2">'3-Odont-HumBio-MolBio-NeuroSci'!$A$1:$L$60</definedName>
    <definedName name="_xlnm.Print_Area" localSheetId="3">'4-MedTek-ITS-FSV-Farm'!$A$1:$L$60</definedName>
    <definedName name="_xlnm.Print_Area" localSheetId="4">'5-UR-h-norm-catalogue-DK'!$A$1:$E$33</definedName>
    <definedName name="_xlnm.Print_Area" localSheetId="5">'6-UR-h-norm-catalogue-UK'!$A$1:$E$33</definedName>
    <definedName name="VEJLEDNING" localSheetId="0">'1-UR-h-registration-summary'!$D$6:$E$13</definedName>
    <definedName name="VEJLEDNING" localSheetId="2">'3-Odont-HumBio-MolBio-NeuroSci'!$AE$1:$AF$7</definedName>
    <definedName name="VEJLEDNING" localSheetId="3">'4-MedTek-ITS-FSV-Farm'!$AE$1:$AF$7</definedName>
    <definedName name="VEJLEDNING">'2-Medicine'!$AE$1:$AF$7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4" i="11" l="1"/>
  <c r="Z39" i="21"/>
  <c r="V39" i="21"/>
  <c r="W39" i="21" s="1"/>
  <c r="W27" i="22" l="1"/>
  <c r="Z27" i="22"/>
  <c r="W28" i="22"/>
  <c r="Z28" i="22"/>
  <c r="W29" i="22"/>
  <c r="Z29" i="22"/>
  <c r="W30" i="22"/>
  <c r="Z30" i="22"/>
  <c r="T31" i="22"/>
  <c r="W31" i="22"/>
  <c r="Z31" i="22"/>
  <c r="W32" i="22"/>
  <c r="Z32" i="22"/>
  <c r="T33" i="22"/>
  <c r="W33" i="22"/>
  <c r="Z33" i="22"/>
  <c r="Z28" i="21" l="1"/>
  <c r="W28" i="21"/>
  <c r="V34" i="3" l="1"/>
  <c r="T57" i="21" l="1"/>
  <c r="Z57" i="21"/>
  <c r="W57" i="21"/>
  <c r="T56" i="21"/>
  <c r="W56" i="21"/>
  <c r="T55" i="21"/>
  <c r="T54" i="21"/>
  <c r="Z56" i="21"/>
  <c r="Z55" i="21"/>
  <c r="W55" i="21"/>
  <c r="Z54" i="21"/>
  <c r="W54" i="21"/>
  <c r="Z53" i="21"/>
  <c r="W53" i="21"/>
  <c r="Z52" i="21"/>
  <c r="W52" i="21"/>
  <c r="Z51" i="21"/>
  <c r="W51" i="21"/>
  <c r="Z50" i="21"/>
  <c r="W50" i="21"/>
  <c r="Z49" i="21"/>
  <c r="W49" i="21"/>
  <c r="T15" i="22"/>
  <c r="T10" i="21"/>
  <c r="Z26" i="3" l="1"/>
  <c r="T4" i="3"/>
  <c r="Z36" i="3"/>
  <c r="W36" i="3"/>
  <c r="Z48" i="21"/>
  <c r="W48" i="21"/>
  <c r="Z29" i="21"/>
  <c r="W29" i="21"/>
  <c r="T47" i="21"/>
  <c r="Z47" i="21"/>
  <c r="W47" i="21"/>
  <c r="T46" i="21"/>
  <c r="Z46" i="21"/>
  <c r="W46" i="21"/>
  <c r="T13" i="21"/>
  <c r="X25" i="21"/>
  <c r="Z25" i="21" s="1"/>
  <c r="T25" i="21"/>
  <c r="W25" i="21"/>
  <c r="T24" i="21"/>
  <c r="Z24" i="21"/>
  <c r="W24" i="21"/>
  <c r="Z41" i="21"/>
  <c r="W41" i="21"/>
  <c r="T41" i="21"/>
  <c r="T37" i="21"/>
  <c r="T14" i="22"/>
  <c r="W24" i="3"/>
  <c r="Z45" i="21"/>
  <c r="W45" i="21"/>
  <c r="T45" i="21"/>
  <c r="Z12" i="21"/>
  <c r="W12" i="21"/>
  <c r="Z22" i="22"/>
  <c r="W22" i="22"/>
  <c r="Z21" i="22"/>
  <c r="W21" i="22"/>
  <c r="Z20" i="22"/>
  <c r="W20" i="22"/>
  <c r="Z18" i="22"/>
  <c r="W18" i="22"/>
  <c r="T34" i="3"/>
  <c r="Z8" i="22"/>
  <c r="W8" i="22"/>
  <c r="T8" i="22"/>
  <c r="Z7" i="22"/>
  <c r="W7" i="22"/>
  <c r="T7" i="22"/>
  <c r="Z6" i="22"/>
  <c r="W6" i="22"/>
  <c r="T6" i="22"/>
  <c r="Z11" i="22"/>
  <c r="W11" i="22"/>
  <c r="T11" i="22"/>
  <c r="Z3" i="22"/>
  <c r="W3" i="22"/>
  <c r="AC1" i="22"/>
  <c r="AB1" i="22"/>
  <c r="AC1" i="21"/>
  <c r="AE2" i="22"/>
  <c r="AF2" i="22"/>
  <c r="AE3" i="22"/>
  <c r="AF3" i="22"/>
  <c r="AE4" i="22"/>
  <c r="AF4" i="22"/>
  <c r="AE5" i="22"/>
  <c r="AF5" i="22"/>
  <c r="AE6" i="22"/>
  <c r="AF6" i="22"/>
  <c r="AE7" i="22"/>
  <c r="AF7" i="22"/>
  <c r="AE1" i="22"/>
  <c r="AE1" i="21"/>
  <c r="AF7" i="21"/>
  <c r="AF6" i="21"/>
  <c r="AF5" i="21"/>
  <c r="AF4" i="21"/>
  <c r="AF3" i="21"/>
  <c r="AF2" i="21"/>
  <c r="AE7" i="21"/>
  <c r="AE6" i="21"/>
  <c r="AE5" i="21"/>
  <c r="AE4" i="21"/>
  <c r="AE3" i="21"/>
  <c r="AE2" i="21"/>
  <c r="AB1" i="21"/>
  <c r="B10" i="11" l="1"/>
  <c r="B19" i="21" l="1"/>
  <c r="B14" i="21"/>
  <c r="B13" i="21"/>
  <c r="B9" i="21"/>
  <c r="B4" i="21"/>
  <c r="B30" i="22" l="1"/>
  <c r="B28" i="22"/>
  <c r="H27" i="22"/>
  <c r="B26" i="22"/>
  <c r="H25" i="22"/>
  <c r="B24" i="22"/>
  <c r="H23" i="22"/>
  <c r="H20" i="22"/>
  <c r="H18" i="22"/>
  <c r="B18" i="22"/>
  <c r="H16" i="22"/>
  <c r="H14" i="22"/>
  <c r="B13" i="22"/>
  <c r="H11" i="22"/>
  <c r="H9" i="22"/>
  <c r="B8" i="22"/>
  <c r="H7" i="22"/>
  <c r="H5" i="22"/>
  <c r="H3" i="22"/>
  <c r="B3" i="22"/>
  <c r="B30" i="21"/>
  <c r="B28" i="21"/>
  <c r="H27" i="21"/>
  <c r="B26" i="21"/>
  <c r="H25" i="21"/>
  <c r="B24" i="21"/>
  <c r="H23" i="21"/>
  <c r="H20" i="21"/>
  <c r="H18" i="21"/>
  <c r="B18" i="21"/>
  <c r="H16" i="21"/>
  <c r="H14" i="21"/>
  <c r="H11" i="21"/>
  <c r="H9" i="21"/>
  <c r="B8" i="21"/>
  <c r="H7" i="21"/>
  <c r="H5" i="21"/>
  <c r="H3" i="21"/>
  <c r="B3" i="21"/>
  <c r="B38" i="3"/>
  <c r="B36" i="3"/>
  <c r="B34" i="3"/>
  <c r="B32" i="3"/>
  <c r="B30" i="3"/>
  <c r="B28" i="3"/>
  <c r="H27" i="3"/>
  <c r="B26" i="3"/>
  <c r="H25" i="3"/>
  <c r="B24" i="3"/>
  <c r="H23" i="3"/>
  <c r="H20" i="3"/>
  <c r="H18" i="3"/>
  <c r="B18" i="3"/>
  <c r="H16" i="3"/>
  <c r="H14" i="3"/>
  <c r="B13" i="3"/>
  <c r="H11" i="3"/>
  <c r="H9" i="3"/>
  <c r="B8" i="3"/>
  <c r="H7" i="3"/>
  <c r="H5" i="3"/>
  <c r="H3" i="3"/>
  <c r="B3" i="3"/>
  <c r="L21" i="22"/>
  <c r="H21" i="22"/>
  <c r="L19" i="22"/>
  <c r="H19" i="22"/>
  <c r="L17" i="22"/>
  <c r="H17" i="22"/>
  <c r="L15" i="22"/>
  <c r="H15" i="22"/>
  <c r="H12" i="22"/>
  <c r="H10" i="22"/>
  <c r="H8" i="22"/>
  <c r="H6" i="22"/>
  <c r="H4" i="22"/>
  <c r="L21" i="21"/>
  <c r="H21" i="21"/>
  <c r="L19" i="21"/>
  <c r="H19" i="21"/>
  <c r="L17" i="21"/>
  <c r="H17" i="21"/>
  <c r="L15" i="21"/>
  <c r="H15" i="21"/>
  <c r="H12" i="21"/>
  <c r="H10" i="21"/>
  <c r="H8" i="21"/>
  <c r="H6" i="21"/>
  <c r="H4" i="21"/>
  <c r="C1" i="22"/>
  <c r="E1" i="22"/>
  <c r="F1" i="22"/>
  <c r="I1" i="22"/>
  <c r="J1" i="22"/>
  <c r="K1" i="22"/>
  <c r="L1" i="22"/>
  <c r="M1" i="22"/>
  <c r="O1" i="22"/>
  <c r="P1" i="22"/>
  <c r="Q1" i="22"/>
  <c r="R1" i="22"/>
  <c r="S1" i="22"/>
  <c r="U1" i="22"/>
  <c r="V1" i="22"/>
  <c r="X1" i="22"/>
  <c r="Y1" i="22"/>
  <c r="Z1" i="22"/>
  <c r="AA1" i="22"/>
  <c r="C1" i="21"/>
  <c r="E1" i="21"/>
  <c r="F1" i="21"/>
  <c r="I1" i="21"/>
  <c r="J1" i="21"/>
  <c r="K1" i="21"/>
  <c r="L1" i="21"/>
  <c r="M1" i="21"/>
  <c r="O1" i="21"/>
  <c r="P1" i="21"/>
  <c r="Q1" i="21"/>
  <c r="R1" i="21"/>
  <c r="S1" i="21"/>
  <c r="U1" i="21"/>
  <c r="V1" i="21"/>
  <c r="X1" i="21"/>
  <c r="Y1" i="21"/>
  <c r="Z1" i="21"/>
  <c r="AA1" i="21"/>
  <c r="L21" i="3" l="1"/>
  <c r="H21" i="3"/>
  <c r="L19" i="3"/>
  <c r="H19" i="3"/>
  <c r="L17" i="3"/>
  <c r="H17" i="3"/>
  <c r="H12" i="3"/>
  <c r="H10" i="3"/>
  <c r="H8" i="3"/>
  <c r="H6" i="3"/>
  <c r="H4" i="3"/>
  <c r="G12" i="11" l="1"/>
  <c r="F12" i="11"/>
  <c r="E12" i="11"/>
  <c r="D12" i="11"/>
  <c r="C12" i="11"/>
  <c r="E24" i="21" l="1"/>
  <c r="W37" i="3"/>
  <c r="Z37" i="3"/>
  <c r="Z44" i="21"/>
  <c r="W44" i="21"/>
  <c r="T13" i="22"/>
  <c r="Z20" i="21"/>
  <c r="W20" i="21"/>
  <c r="T31" i="21"/>
  <c r="U31" i="21"/>
  <c r="W31" i="21"/>
  <c r="Z31" i="21"/>
  <c r="T32" i="21"/>
  <c r="W32" i="21"/>
  <c r="Z32" i="21"/>
  <c r="T33" i="21"/>
  <c r="U33" i="21"/>
  <c r="W33" i="21"/>
  <c r="Z33" i="21"/>
  <c r="U34" i="21"/>
  <c r="W34" i="21"/>
  <c r="Z34" i="21"/>
  <c r="W35" i="21"/>
  <c r="Z35" i="21"/>
  <c r="W36" i="21"/>
  <c r="Z36" i="21"/>
  <c r="W37" i="21"/>
  <c r="Z37" i="21"/>
  <c r="W38" i="21"/>
  <c r="Z38" i="21"/>
  <c r="T40" i="21"/>
  <c r="W40" i="21"/>
  <c r="Z40" i="21"/>
  <c r="W42" i="21"/>
  <c r="Z42" i="21"/>
  <c r="W43" i="21"/>
  <c r="Z43" i="21"/>
  <c r="Z19" i="3"/>
  <c r="Z35" i="3"/>
  <c r="W35" i="3"/>
  <c r="Z34" i="3"/>
  <c r="W34" i="3"/>
  <c r="Z33" i="3"/>
  <c r="W33" i="3"/>
  <c r="Z32" i="3"/>
  <c r="W32" i="3"/>
  <c r="Z31" i="3"/>
  <c r="W31" i="3"/>
  <c r="Z30" i="3"/>
  <c r="W30" i="3"/>
  <c r="Z29" i="3"/>
  <c r="W29" i="3"/>
  <c r="Z28" i="3"/>
  <c r="W28" i="3"/>
  <c r="Z27" i="3"/>
  <c r="W27" i="3"/>
  <c r="U27" i="3"/>
  <c r="W26" i="3"/>
  <c r="U26" i="3"/>
  <c r="Z25" i="3"/>
  <c r="W25" i="3"/>
  <c r="T25" i="3"/>
  <c r="Z23" i="3"/>
  <c r="W23" i="3"/>
  <c r="Z22" i="3"/>
  <c r="W22" i="3"/>
  <c r="Z21" i="3"/>
  <c r="X21" i="3"/>
  <c r="W21" i="3"/>
  <c r="U21" i="3"/>
  <c r="T21" i="3"/>
  <c r="Z20" i="3"/>
  <c r="W20" i="3"/>
  <c r="U20" i="3"/>
  <c r="T20" i="3"/>
  <c r="W19" i="3"/>
  <c r="Z18" i="3"/>
  <c r="W18" i="3"/>
  <c r="U18" i="3"/>
  <c r="T18" i="3"/>
  <c r="Z17" i="3"/>
  <c r="W17" i="3"/>
  <c r="U17" i="3"/>
  <c r="T17" i="3"/>
  <c r="L32" i="22"/>
  <c r="L32" i="21"/>
  <c r="I11" i="3"/>
  <c r="J12" i="3"/>
  <c r="K12" i="3"/>
  <c r="L12" i="3"/>
  <c r="L33" i="3"/>
  <c r="L32" i="3"/>
  <c r="H28" i="22"/>
  <c r="H26" i="22"/>
  <c r="H24" i="22"/>
  <c r="H28" i="21"/>
  <c r="H26" i="21"/>
  <c r="H24" i="21"/>
  <c r="E32" i="3"/>
  <c r="A33" i="3"/>
  <c r="E34" i="3"/>
  <c r="A35" i="3"/>
  <c r="E36" i="3"/>
  <c r="A37" i="3"/>
  <c r="E38" i="3"/>
  <c r="A39" i="3"/>
  <c r="E42" i="3"/>
  <c r="E43" i="3"/>
  <c r="E44" i="3"/>
  <c r="V13" i="21"/>
  <c r="W13" i="21"/>
  <c r="Z13" i="21"/>
  <c r="W14" i="21"/>
  <c r="Z14" i="21"/>
  <c r="V15" i="21"/>
  <c r="W15" i="21" s="1"/>
  <c r="Z15" i="21"/>
  <c r="V16" i="21"/>
  <c r="W16" i="21" s="1"/>
  <c r="Z16" i="21"/>
  <c r="V17" i="21"/>
  <c r="W17" i="21" s="1"/>
  <c r="Z17" i="21"/>
  <c r="V18" i="21"/>
  <c r="W18" i="21"/>
  <c r="Z18" i="21"/>
  <c r="W27" i="21"/>
  <c r="Z27" i="21"/>
  <c r="T19" i="21"/>
  <c r="W19" i="21"/>
  <c r="Z19" i="21"/>
  <c r="W21" i="21"/>
  <c r="Z21" i="21"/>
  <c r="W23" i="21"/>
  <c r="Z23" i="21"/>
  <c r="W26" i="21"/>
  <c r="Z26" i="21"/>
  <c r="W22" i="21"/>
  <c r="Z22" i="21"/>
  <c r="W30" i="21"/>
  <c r="Z30" i="21"/>
  <c r="Z3" i="21"/>
  <c r="W3" i="21"/>
  <c r="U3" i="21"/>
  <c r="U4" i="21"/>
  <c r="W4" i="21"/>
  <c r="Z4" i="21"/>
  <c r="T5" i="21"/>
  <c r="W5" i="21"/>
  <c r="Z5" i="21"/>
  <c r="U6" i="21"/>
  <c r="W6" i="21"/>
  <c r="Z6" i="21"/>
  <c r="U7" i="21"/>
  <c r="W7" i="21"/>
  <c r="Z7" i="21"/>
  <c r="W8" i="21"/>
  <c r="Z8" i="21"/>
  <c r="W9" i="21"/>
  <c r="Z9" i="21"/>
  <c r="W10" i="21"/>
  <c r="Z10" i="21"/>
  <c r="W11" i="21"/>
  <c r="Z11" i="21"/>
  <c r="Z26" i="22"/>
  <c r="W26" i="22"/>
  <c r="Z25" i="22"/>
  <c r="W25" i="22"/>
  <c r="Z24" i="22"/>
  <c r="W24" i="22"/>
  <c r="Z23" i="22"/>
  <c r="W23" i="22"/>
  <c r="T23" i="22"/>
  <c r="Z19" i="22"/>
  <c r="W19" i="22"/>
  <c r="Z17" i="22"/>
  <c r="W17" i="22"/>
  <c r="Z16" i="22"/>
  <c r="W16" i="22"/>
  <c r="Z15" i="22"/>
  <c r="W15" i="22"/>
  <c r="Z14" i="22"/>
  <c r="W14" i="22"/>
  <c r="Z13" i="22"/>
  <c r="W13" i="22"/>
  <c r="K4" i="22" s="1"/>
  <c r="L4" i="22" s="1"/>
  <c r="Z12" i="22"/>
  <c r="W12" i="22"/>
  <c r="Z9" i="22"/>
  <c r="W9" i="22"/>
  <c r="T9" i="22"/>
  <c r="Z10" i="22"/>
  <c r="W10" i="22"/>
  <c r="T10" i="22"/>
  <c r="J4" i="22"/>
  <c r="Z5" i="22"/>
  <c r="W5" i="22"/>
  <c r="Z4" i="22"/>
  <c r="W4" i="22"/>
  <c r="Z2" i="22"/>
  <c r="W2" i="22"/>
  <c r="K10" i="22"/>
  <c r="A31" i="22"/>
  <c r="I27" i="22"/>
  <c r="E30" i="22"/>
  <c r="J26" i="22"/>
  <c r="L26" i="22" s="1"/>
  <c r="A29" i="22"/>
  <c r="I25" i="22"/>
  <c r="E28" i="22"/>
  <c r="A27" i="22"/>
  <c r="I23" i="22"/>
  <c r="E26" i="22"/>
  <c r="J22" i="22"/>
  <c r="A25" i="22"/>
  <c r="J21" i="22"/>
  <c r="I20" i="22"/>
  <c r="J19" i="22"/>
  <c r="E22" i="22"/>
  <c r="C22" i="22"/>
  <c r="B22" i="22"/>
  <c r="I18" i="22"/>
  <c r="E21" i="22"/>
  <c r="C21" i="22"/>
  <c r="B21" i="22"/>
  <c r="J17" i="22"/>
  <c r="E20" i="22"/>
  <c r="C20" i="22"/>
  <c r="B20" i="22"/>
  <c r="I16" i="22"/>
  <c r="E19" i="22"/>
  <c r="C19" i="22"/>
  <c r="B19" i="22"/>
  <c r="I14" i="22"/>
  <c r="E17" i="22"/>
  <c r="C17" i="22"/>
  <c r="B17" i="22"/>
  <c r="C16" i="22"/>
  <c r="E16" i="22"/>
  <c r="B16" i="22"/>
  <c r="L31" i="22"/>
  <c r="C15" i="22"/>
  <c r="E15" i="22"/>
  <c r="B15" i="22"/>
  <c r="J28" i="22"/>
  <c r="L30" i="22"/>
  <c r="C14" i="22"/>
  <c r="E14" i="22" s="1"/>
  <c r="B14" i="22"/>
  <c r="L12" i="22"/>
  <c r="K12" i="22"/>
  <c r="J12" i="22"/>
  <c r="E12" i="22"/>
  <c r="C12" i="22"/>
  <c r="B12" i="22"/>
  <c r="I11" i="22"/>
  <c r="E11" i="22"/>
  <c r="C11" i="22"/>
  <c r="B11" i="22"/>
  <c r="J10" i="22"/>
  <c r="E10" i="22"/>
  <c r="C10" i="22"/>
  <c r="B10" i="22"/>
  <c r="I9" i="22"/>
  <c r="E9" i="22"/>
  <c r="C9" i="22"/>
  <c r="B9" i="22"/>
  <c r="L8" i="22"/>
  <c r="K8" i="22"/>
  <c r="J8" i="22"/>
  <c r="E24" i="22"/>
  <c r="I7" i="22"/>
  <c r="C7" i="22"/>
  <c r="E7" i="22"/>
  <c r="B7" i="22"/>
  <c r="K6" i="22"/>
  <c r="L6" i="22" s="1"/>
  <c r="J6" i="22"/>
  <c r="E6" i="22"/>
  <c r="C6" i="22"/>
  <c r="B6" i="22"/>
  <c r="J24" i="22"/>
  <c r="L24" i="22" s="1"/>
  <c r="J15" i="22"/>
  <c r="I5" i="22"/>
  <c r="C5" i="22"/>
  <c r="E5" i="22"/>
  <c r="B5" i="22"/>
  <c r="C4" i="22"/>
  <c r="E4" i="22"/>
  <c r="B4" i="22"/>
  <c r="I3" i="22"/>
  <c r="K4" i="21"/>
  <c r="L4" i="21" s="1"/>
  <c r="Z2" i="21"/>
  <c r="W2" i="21"/>
  <c r="A31" i="21"/>
  <c r="I27" i="21"/>
  <c r="E30" i="21"/>
  <c r="J26" i="21"/>
  <c r="A29" i="21"/>
  <c r="I25" i="21"/>
  <c r="E28" i="21"/>
  <c r="A27" i="21"/>
  <c r="I23" i="21"/>
  <c r="E26" i="21"/>
  <c r="J22" i="21"/>
  <c r="A25" i="21"/>
  <c r="J21" i="21"/>
  <c r="I20" i="21"/>
  <c r="J19" i="21"/>
  <c r="C22" i="21"/>
  <c r="E22" i="21" s="1"/>
  <c r="B22" i="21"/>
  <c r="I18" i="21"/>
  <c r="C21" i="21"/>
  <c r="E21" i="21" s="1"/>
  <c r="B21" i="21"/>
  <c r="J17" i="21"/>
  <c r="C20" i="21"/>
  <c r="E20" i="21" s="1"/>
  <c r="B20" i="21"/>
  <c r="I16" i="21"/>
  <c r="C19" i="21"/>
  <c r="E19" i="21" s="1"/>
  <c r="I14" i="21"/>
  <c r="C17" i="21"/>
  <c r="E17" i="21"/>
  <c r="B17" i="21"/>
  <c r="C16" i="21"/>
  <c r="E16" i="21" s="1"/>
  <c r="B16" i="21"/>
  <c r="L31" i="21"/>
  <c r="C15" i="21"/>
  <c r="E15" i="21" s="1"/>
  <c r="B15" i="21"/>
  <c r="J28" i="21"/>
  <c r="L30" i="21"/>
  <c r="E14" i="21"/>
  <c r="C14" i="21"/>
  <c r="L12" i="21"/>
  <c r="K12" i="21"/>
  <c r="J12" i="21"/>
  <c r="C12" i="21"/>
  <c r="E12" i="21"/>
  <c r="B12" i="21"/>
  <c r="I11" i="21"/>
  <c r="C11" i="21"/>
  <c r="E11" i="21" s="1"/>
  <c r="B11" i="21"/>
  <c r="K10" i="21"/>
  <c r="J10" i="21"/>
  <c r="C10" i="21"/>
  <c r="E10" i="21"/>
  <c r="B10" i="21"/>
  <c r="I9" i="21"/>
  <c r="C9" i="21"/>
  <c r="E9" i="21" s="1"/>
  <c r="L8" i="21"/>
  <c r="K8" i="21"/>
  <c r="J8" i="21"/>
  <c r="I7" i="21"/>
  <c r="C7" i="21"/>
  <c r="E7" i="21" s="1"/>
  <c r="B7" i="21"/>
  <c r="L6" i="21"/>
  <c r="K6" i="21"/>
  <c r="J6" i="21"/>
  <c r="C6" i="21"/>
  <c r="E6" i="21" s="1"/>
  <c r="B6" i="21"/>
  <c r="J24" i="21"/>
  <c r="J15" i="21"/>
  <c r="I5" i="21"/>
  <c r="C5" i="21"/>
  <c r="E5" i="21"/>
  <c r="B5" i="21"/>
  <c r="J4" i="21"/>
  <c r="C4" i="21"/>
  <c r="E4" i="21" s="1"/>
  <c r="I3" i="21"/>
  <c r="L28" i="22"/>
  <c r="L10" i="22"/>
  <c r="L10" i="21"/>
  <c r="L24" i="21"/>
  <c r="L26" i="21"/>
  <c r="L28" i="21"/>
  <c r="B22" i="3"/>
  <c r="B17" i="3"/>
  <c r="B12" i="3"/>
  <c r="B7" i="3"/>
  <c r="I16" i="3"/>
  <c r="I27" i="3"/>
  <c r="I25" i="3"/>
  <c r="I23" i="3"/>
  <c r="I20" i="3"/>
  <c r="I18" i="3"/>
  <c r="I14" i="3"/>
  <c r="I9" i="3"/>
  <c r="I7" i="3"/>
  <c r="I5" i="3"/>
  <c r="I3" i="3"/>
  <c r="A31" i="3"/>
  <c r="A29" i="3"/>
  <c r="A27" i="3"/>
  <c r="A25" i="3"/>
  <c r="B21" i="3"/>
  <c r="B16" i="3"/>
  <c r="B11" i="3"/>
  <c r="B6" i="3"/>
  <c r="B20" i="3"/>
  <c r="B15" i="3"/>
  <c r="B10" i="3"/>
  <c r="B5" i="3"/>
  <c r="B19" i="3"/>
  <c r="B14" i="3"/>
  <c r="B9" i="3"/>
  <c r="B4" i="3"/>
  <c r="H28" i="3"/>
  <c r="H24" i="3"/>
  <c r="H26" i="3"/>
  <c r="E30" i="3"/>
  <c r="E28" i="3"/>
  <c r="E26" i="3"/>
  <c r="E24" i="3"/>
  <c r="D10" i="11"/>
  <c r="E10" i="11" s="1"/>
  <c r="D9" i="11"/>
  <c r="E9" i="11" s="1"/>
  <c r="D8" i="11"/>
  <c r="E8" i="11" s="1"/>
  <c r="D7" i="11"/>
  <c r="E7" i="11" s="1"/>
  <c r="J28" i="3"/>
  <c r="L28" i="3"/>
  <c r="J26" i="3"/>
  <c r="L26" i="3"/>
  <c r="J24" i="3"/>
  <c r="L24" i="3"/>
  <c r="J22" i="3"/>
  <c r="C4" i="3"/>
  <c r="E4" i="3"/>
  <c r="J4" i="3"/>
  <c r="C5" i="3"/>
  <c r="E5" i="3" s="1"/>
  <c r="C6" i="3"/>
  <c r="E6" i="3"/>
  <c r="J6" i="3"/>
  <c r="K6" i="3"/>
  <c r="L6" i="3"/>
  <c r="C7" i="3"/>
  <c r="E7" i="3" s="1"/>
  <c r="J8" i="3"/>
  <c r="K8" i="3"/>
  <c r="L8" i="3"/>
  <c r="C9" i="3"/>
  <c r="E9" i="3" s="1"/>
  <c r="C10" i="3"/>
  <c r="E10" i="3"/>
  <c r="J10" i="3"/>
  <c r="K10" i="3"/>
  <c r="L10" i="3"/>
  <c r="C11" i="3"/>
  <c r="E11" i="3" s="1"/>
  <c r="C12" i="3"/>
  <c r="E12" i="3"/>
  <c r="C14" i="3"/>
  <c r="E14" i="3"/>
  <c r="L30" i="3"/>
  <c r="C15" i="3"/>
  <c r="E15" i="3"/>
  <c r="L31" i="3"/>
  <c r="C16" i="3"/>
  <c r="E16" i="3"/>
  <c r="C17" i="3"/>
  <c r="E17" i="3"/>
  <c r="J15" i="3"/>
  <c r="C19" i="3"/>
  <c r="E19" i="3"/>
  <c r="C20" i="3"/>
  <c r="E20" i="3"/>
  <c r="J17" i="3"/>
  <c r="C21" i="3"/>
  <c r="E21" i="3"/>
  <c r="C22" i="3"/>
  <c r="E22" i="3"/>
  <c r="J19" i="3"/>
  <c r="J21" i="3"/>
  <c r="B42" i="11"/>
  <c r="B41" i="11"/>
  <c r="U3" i="3"/>
  <c r="W16" i="3"/>
  <c r="W15" i="3"/>
  <c r="W7" i="3"/>
  <c r="W5" i="3"/>
  <c r="W14" i="3"/>
  <c r="W13" i="3"/>
  <c r="W12" i="3"/>
  <c r="W11" i="3"/>
  <c r="W10" i="3"/>
  <c r="W9" i="3"/>
  <c r="W8" i="3"/>
  <c r="K4" i="3"/>
  <c r="L4" i="3" s="1"/>
  <c r="W6" i="3"/>
  <c r="W4" i="3"/>
  <c r="W3" i="3"/>
  <c r="W2" i="3"/>
  <c r="Z16" i="3"/>
  <c r="Z15" i="3"/>
  <c r="Z14" i="3"/>
  <c r="Z13" i="3"/>
  <c r="Z12" i="3"/>
  <c r="Z11" i="3"/>
  <c r="T11" i="3"/>
  <c r="Z10" i="3"/>
  <c r="Z9" i="3"/>
  <c r="Z8" i="3"/>
  <c r="U8" i="3"/>
  <c r="Z7" i="3"/>
  <c r="U7" i="3"/>
  <c r="T7" i="3"/>
  <c r="Z6" i="3"/>
  <c r="T6" i="3"/>
  <c r="Z5" i="3"/>
  <c r="U5" i="3"/>
  <c r="T5" i="3"/>
  <c r="Z4" i="3"/>
  <c r="Z3" i="3"/>
  <c r="Z2" i="3"/>
  <c r="A26" i="11"/>
  <c r="B12" i="11" l="1"/>
  <c r="L15" i="3"/>
  <c r="L38" i="3" s="1"/>
  <c r="H15" i="3"/>
  <c r="L38" i="21"/>
  <c r="E40" i="22"/>
  <c r="L39" i="22" s="1"/>
  <c r="L38" i="22"/>
  <c r="E40" i="21"/>
  <c r="L39" i="21" s="1"/>
  <c r="E40" i="3"/>
  <c r="L39" i="3" s="1"/>
  <c r="A12" i="11"/>
  <c r="L40" i="21" l="1"/>
  <c r="B19" i="11" s="1"/>
  <c r="L40" i="22"/>
  <c r="B20" i="11" s="1"/>
  <c r="L40" i="3"/>
  <c r="B18" i="11" s="1"/>
  <c r="B22" i="11" l="1"/>
  <c r="B26"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Jesper Brahm</author>
  </authors>
  <commentList>
    <comment ref="I1" authorId="0" shapeId="0" xr:uid="{00000000-0006-0000-0100-000001000000}">
      <text>
        <r>
          <rPr>
            <b/>
            <sz val="8"/>
            <color indexed="81"/>
            <rFont val="Tahoma"/>
            <family val="2"/>
          </rPr>
          <t>Jesper Brahm:</t>
        </r>
        <r>
          <rPr>
            <sz val="8"/>
            <color indexed="81"/>
            <rFont val="Tahoma"/>
            <family val="2"/>
          </rPr>
          <t xml:space="preserve">
The percentage you mark of the individual exam set</t>
        </r>
      </text>
    </comment>
    <comment ref="J1" authorId="0" shapeId="0" xr:uid="{00000000-0006-0000-0100-000002000000}">
      <text>
        <r>
          <rPr>
            <b/>
            <sz val="9"/>
            <color indexed="81"/>
            <rFont val="Tahoma"/>
            <family val="2"/>
          </rPr>
          <t>Jesper Brahm:</t>
        </r>
        <r>
          <rPr>
            <sz val="9"/>
            <color indexed="81"/>
            <rFont val="Tahoma"/>
            <family val="2"/>
          </rPr>
          <t xml:space="preserve">
Duration of exam</t>
        </r>
      </text>
    </comment>
    <comment ref="K1" authorId="0" shapeId="0" xr:uid="{00000000-0006-0000-0100-000003000000}">
      <text>
        <r>
          <rPr>
            <b/>
            <sz val="9"/>
            <color indexed="81"/>
            <rFont val="Tahoma"/>
            <family val="2"/>
          </rPr>
          <t>Jesper Brahm:</t>
        </r>
        <r>
          <rPr>
            <sz val="9"/>
            <color indexed="81"/>
            <rFont val="Tahoma"/>
            <family val="2"/>
          </rPr>
          <t xml:space="preserve">
UR-hour/exercise (written)
or
UR-hour/student (oral)</t>
        </r>
      </text>
    </comment>
    <comment ref="S1" authorId="0" shapeId="0" xr:uid="{00000000-0006-0000-0100-000004000000}">
      <text>
        <r>
          <rPr>
            <b/>
            <sz val="9"/>
            <color indexed="81"/>
            <rFont val="Tahoma"/>
            <family val="2"/>
          </rPr>
          <t xml:space="preserve">Jesper Brahm:
</t>
        </r>
        <r>
          <rPr>
            <sz val="9"/>
            <color indexed="81"/>
            <rFont val="Tahoma"/>
            <family val="2"/>
          </rPr>
          <t>Form and duration (hours)</t>
        </r>
      </text>
    </comment>
    <comment ref="U1" authorId="0" shapeId="0" xr:uid="{00000000-0006-0000-0100-000005000000}">
      <text>
        <r>
          <rPr>
            <b/>
            <sz val="9"/>
            <color indexed="81"/>
            <rFont val="Tahoma"/>
            <family val="2"/>
          </rPr>
          <t>Jesper Brahm:</t>
        </r>
        <r>
          <rPr>
            <sz val="9"/>
            <color indexed="81"/>
            <rFont val="Tahoma"/>
            <family val="2"/>
          </rPr>
          <t xml:space="preserve">
UR-hours dedicated to preparation of exam </t>
        </r>
      </text>
    </comment>
    <comment ref="V1" authorId="0" shapeId="0" xr:uid="{00000000-0006-0000-0100-000006000000}">
      <text>
        <r>
          <rPr>
            <b/>
            <sz val="9"/>
            <color indexed="81"/>
            <rFont val="Tahoma"/>
            <family val="2"/>
          </rPr>
          <t>Jesper Brahm:</t>
        </r>
        <r>
          <rPr>
            <sz val="9"/>
            <color indexed="81"/>
            <rFont val="Tahoma"/>
            <family val="2"/>
          </rPr>
          <t xml:space="preserve">
Minutes and UR-hours per exam set or oral examination
</t>
        </r>
      </text>
    </comment>
    <comment ref="X1" authorId="0" shapeId="0" xr:uid="{00000000-0006-0000-0100-000007000000}">
      <text>
        <r>
          <rPr>
            <b/>
            <sz val="9"/>
            <color indexed="81"/>
            <rFont val="Tahoma"/>
            <family val="2"/>
          </rPr>
          <t>Jesper Brahm:</t>
        </r>
        <r>
          <rPr>
            <sz val="9"/>
            <color indexed="81"/>
            <rFont val="Tahoma"/>
            <family val="2"/>
          </rPr>
          <t xml:space="preserve">
ECTS related to the exam</t>
        </r>
      </text>
    </comment>
    <comment ref="Y1" authorId="0" shapeId="0" xr:uid="{00000000-0006-0000-0100-000008000000}">
      <text>
        <r>
          <rPr>
            <b/>
            <sz val="9"/>
            <color indexed="81"/>
            <rFont val="Tahoma"/>
            <family val="2"/>
          </rPr>
          <t>Jesper Brahm:</t>
        </r>
        <r>
          <rPr>
            <sz val="9"/>
            <color indexed="81"/>
            <rFont val="Tahoma"/>
            <family val="2"/>
          </rPr>
          <t xml:space="preserve">
ECTS related to the course</t>
        </r>
      </text>
    </comment>
    <comment ref="O3" authorId="0" shapeId="0" xr:uid="{00000000-0006-0000-0100-000009000000}">
      <text>
        <r>
          <rPr>
            <b/>
            <sz val="9"/>
            <color indexed="81"/>
            <rFont val="Tahoma"/>
            <family val="2"/>
          </rPr>
          <t>Jesper Brahm:</t>
        </r>
        <r>
          <rPr>
            <sz val="9"/>
            <color indexed="81"/>
            <rFont val="Tahoma"/>
            <family val="2"/>
          </rPr>
          <t xml:space="preserve">
Course in Basic Human Biology and the Chemical Components of the Cells, Medicine</t>
        </r>
      </text>
    </comment>
    <comment ref="S3" authorId="0" shapeId="0" xr:uid="{00000000-0006-0000-0100-00000A000000}">
      <text>
        <r>
          <rPr>
            <b/>
            <sz val="9"/>
            <color indexed="81"/>
            <rFont val="Tahoma"/>
            <family val="2"/>
          </rPr>
          <t xml:space="preserve">Jesper Brahm: </t>
        </r>
        <r>
          <rPr>
            <sz val="9"/>
            <color indexed="81"/>
            <rFont val="Tahoma"/>
            <family val="2"/>
          </rPr>
          <t>Exam in Basic Human Biology and the Chemical Components of the Cells, Medicine</t>
        </r>
      </text>
    </comment>
    <comment ref="T3" authorId="0" shapeId="0" xr:uid="{00000000-0006-0000-0100-00000B000000}">
      <text>
        <r>
          <rPr>
            <b/>
            <sz val="9"/>
            <color indexed="81"/>
            <rFont val="Tahoma"/>
            <family val="2"/>
          </rPr>
          <t>Jesper Brahm:</t>
        </r>
        <r>
          <rPr>
            <sz val="9"/>
            <color indexed="81"/>
            <rFont val="Tahoma"/>
            <family val="2"/>
          </rPr>
          <t xml:space="preserve">
integreret og 50+20 MC</t>
        </r>
      </text>
    </comment>
    <comment ref="U3" authorId="0" shapeId="0" xr:uid="{00000000-0006-0000-0100-00000C000000}">
      <text>
        <r>
          <rPr>
            <b/>
            <sz val="9"/>
            <color indexed="81"/>
            <rFont val="Tahoma"/>
            <family val="2"/>
          </rPr>
          <t>Jesper Brahm:</t>
        </r>
        <r>
          <rPr>
            <sz val="9"/>
            <color indexed="81"/>
            <rFont val="Tahoma"/>
            <family val="2"/>
          </rPr>
          <t xml:space="preserve">
4 t integreret = 130 t
MC =100 t
I alt 230 t</t>
        </r>
      </text>
    </comment>
    <comment ref="V3" authorId="0" shapeId="0" xr:uid="{00000000-0006-0000-0100-00000D000000}">
      <text>
        <r>
          <rPr>
            <b/>
            <sz val="9"/>
            <color indexed="81"/>
            <rFont val="Tahoma"/>
            <family val="2"/>
          </rPr>
          <t>Jesper Brahm:</t>
        </r>
        <r>
          <rPr>
            <sz val="9"/>
            <color indexed="81"/>
            <rFont val="Tahoma"/>
            <family val="2"/>
          </rPr>
          <t xml:space="preserve">
3 t til integr.
1 t til MC</t>
        </r>
      </text>
    </comment>
    <comment ref="O4" authorId="0" shapeId="0" xr:uid="{00000000-0006-0000-0100-00000E000000}">
      <text>
        <r>
          <rPr>
            <b/>
            <sz val="9"/>
            <color indexed="81"/>
            <rFont val="Tahoma"/>
            <family val="2"/>
          </rPr>
          <t>Jesper Brahm:</t>
        </r>
        <r>
          <rPr>
            <sz val="9"/>
            <color indexed="81"/>
            <rFont val="Tahoma"/>
            <family val="2"/>
          </rPr>
          <t xml:space="preserve">
Course in Introduction to the Patient and First Aid</t>
        </r>
      </text>
    </comment>
    <comment ref="S4" authorId="0" shapeId="0" xr:uid="{00000000-0006-0000-0100-00000F000000}">
      <text>
        <r>
          <rPr>
            <b/>
            <sz val="9"/>
            <color indexed="81"/>
            <rFont val="Tahoma"/>
            <family val="2"/>
          </rPr>
          <t>Jesper Brahm:</t>
        </r>
        <r>
          <rPr>
            <sz val="9"/>
            <color indexed="81"/>
            <rFont val="Tahoma"/>
            <family val="2"/>
          </rPr>
          <t xml:space="preserve">
Kursusdeltagelse
Skriftlig aflevering
De obligatoriske elementer på kursus i tidlig patientkontakt og førstehjælp er:
    - Mødepligt til og deltagelse i førstehjælpskursus
Mødepligt til undervisning i tavshedspligt
Ophold hos den praktiserende læge
Aflevering af rapport.</t>
        </r>
      </text>
    </comment>
    <comment ref="V4" authorId="0" shapeId="0" xr:uid="{00000000-0006-0000-0100-000010000000}">
      <text>
        <r>
          <rPr>
            <b/>
            <sz val="9"/>
            <color indexed="81"/>
            <rFont val="Tahoma"/>
            <family val="2"/>
          </rPr>
          <t>Jesper Brahm:</t>
        </r>
        <r>
          <rPr>
            <sz val="9"/>
            <color indexed="81"/>
            <rFont val="Tahoma"/>
            <family val="2"/>
          </rPr>
          <t xml:space="preserve">
Censurnorm 40 min
Eksamen 20 min!</t>
        </r>
      </text>
    </comment>
    <comment ref="O5" authorId="0" shapeId="0" xr:uid="{00000000-0006-0000-0100-000011000000}">
      <text>
        <r>
          <rPr>
            <b/>
            <sz val="9"/>
            <color indexed="81"/>
            <rFont val="Tahoma"/>
            <family val="2"/>
          </rPr>
          <t>Jesper Brahm:</t>
        </r>
        <r>
          <rPr>
            <sz val="9"/>
            <color indexed="81"/>
            <rFont val="Tahoma"/>
            <family val="2"/>
          </rPr>
          <t xml:space="preserve">
Course in Medical Cell and Tissue Biology, Medicine</t>
        </r>
      </text>
    </comment>
    <comment ref="T5" authorId="0" shapeId="0" xr:uid="{00000000-0006-0000-0100-000012000000}">
      <text>
        <r>
          <rPr>
            <b/>
            <sz val="9"/>
            <color indexed="81"/>
            <rFont val="Tahoma"/>
            <family val="2"/>
          </rPr>
          <t>Jesper Brahm:</t>
        </r>
        <r>
          <rPr>
            <sz val="9"/>
            <color indexed="81"/>
            <rFont val="Tahoma"/>
            <family val="2"/>
          </rPr>
          <t xml:space="preserve">
5 t *(12.5/15) - 0.5= 3.66 t</t>
        </r>
      </text>
    </comment>
    <comment ref="U5" authorId="0" shapeId="0" xr:uid="{00000000-0006-0000-0100-000013000000}">
      <text>
        <r>
          <rPr>
            <b/>
            <sz val="9"/>
            <color indexed="81"/>
            <rFont val="Tahoma"/>
            <family val="2"/>
          </rPr>
          <t>Jesper Brahm:</t>
        </r>
        <r>
          <rPr>
            <sz val="9"/>
            <color indexed="81"/>
            <rFont val="Tahoma"/>
            <family val="2"/>
          </rPr>
          <t xml:space="preserve">
130*12.5/15</t>
        </r>
      </text>
    </comment>
    <comment ref="V5" authorId="0" shapeId="0" xr:uid="{00000000-0006-0000-0100-000014000000}">
      <text>
        <r>
          <rPr>
            <b/>
            <sz val="8"/>
            <color indexed="81"/>
            <rFont val="Tahoma"/>
            <family val="2"/>
          </rPr>
          <t>Jesper Brahm:</t>
        </r>
        <r>
          <rPr>
            <sz val="8"/>
            <color indexed="81"/>
            <rFont val="Tahoma"/>
            <family val="2"/>
          </rPr>
          <t xml:space="preserve">
5*50 - 30 (spot) - 50 (excitable celler) =170 min, dvs. bedømmelse = 20 min
Sættes til 25 min</t>
        </r>
      </text>
    </comment>
    <comment ref="X5" authorId="0" shapeId="0" xr:uid="{00000000-0006-0000-0100-000015000000}">
      <text>
        <r>
          <rPr>
            <b/>
            <sz val="9"/>
            <color indexed="81"/>
            <rFont val="Tahoma"/>
            <family val="2"/>
          </rPr>
          <t>Jesper Brahm:</t>
        </r>
        <r>
          <rPr>
            <sz val="9"/>
            <color indexed="81"/>
            <rFont val="Tahoma"/>
            <family val="2"/>
          </rPr>
          <t xml:space="preserve">
Skriftlig prøve og skriftlig spot</t>
        </r>
      </text>
    </comment>
    <comment ref="O7" authorId="0" shapeId="0" xr:uid="{00000000-0006-0000-0100-000016000000}">
      <text>
        <r>
          <rPr>
            <b/>
            <sz val="9"/>
            <color indexed="81"/>
            <rFont val="Tahoma"/>
            <family val="2"/>
          </rPr>
          <t>Jesper Brahm:</t>
        </r>
        <r>
          <rPr>
            <sz val="9"/>
            <color indexed="81"/>
            <rFont val="Tahoma"/>
            <family val="2"/>
          </rPr>
          <t xml:space="preserve">
Course in Excitable Cells, Medicine</t>
        </r>
      </text>
    </comment>
    <comment ref="T7" authorId="0" shapeId="0" xr:uid="{00000000-0006-0000-0100-000017000000}">
      <text>
        <r>
          <rPr>
            <b/>
            <sz val="9"/>
            <color indexed="81"/>
            <rFont val="Tahoma"/>
            <family val="2"/>
          </rPr>
          <t>Jesper Brahm:</t>
        </r>
        <r>
          <rPr>
            <sz val="9"/>
            <color indexed="81"/>
            <rFont val="Tahoma"/>
            <family val="2"/>
          </rPr>
          <t xml:space="preserve">
5 t *(2.5/15)= 0.83 t</t>
        </r>
      </text>
    </comment>
    <comment ref="U7" authorId="0" shapeId="0" xr:uid="{00000000-0006-0000-0100-000018000000}">
      <text>
        <r>
          <rPr>
            <b/>
            <sz val="9"/>
            <color indexed="81"/>
            <rFont val="Tahoma"/>
            <family val="2"/>
          </rPr>
          <t>Jesper Brahm:</t>
        </r>
        <r>
          <rPr>
            <sz val="9"/>
            <color indexed="81"/>
            <rFont val="Tahoma"/>
            <family val="2"/>
          </rPr>
          <t xml:space="preserve">
130*2.5/15</t>
        </r>
      </text>
    </comment>
    <comment ref="V7" authorId="0" shapeId="0" xr:uid="{00000000-0006-0000-0100-000019000000}">
      <text>
        <r>
          <rPr>
            <b/>
            <sz val="8"/>
            <color indexed="81"/>
            <rFont val="Tahoma"/>
            <family val="2"/>
          </rPr>
          <t>Jesper Brahm:</t>
        </r>
        <r>
          <rPr>
            <sz val="8"/>
            <color indexed="81"/>
            <rFont val="Tahoma"/>
            <family val="2"/>
          </rPr>
          <t xml:space="preserve">
5*60*2.5/15=50 min, dvs. bedømmelse = 10 min
Sættes til 15 min
</t>
        </r>
      </text>
    </comment>
    <comment ref="O8" authorId="0" shapeId="0" xr:uid="{00000000-0006-0000-0100-00001A000000}">
      <text>
        <r>
          <rPr>
            <b/>
            <sz val="9"/>
            <color indexed="81"/>
            <rFont val="Tahoma"/>
            <family val="2"/>
          </rPr>
          <t>Jesper Brahm:</t>
        </r>
        <r>
          <rPr>
            <sz val="9"/>
            <color indexed="81"/>
            <rFont val="Tahoma"/>
            <family val="2"/>
          </rPr>
          <t xml:space="preserve">
Exam in Medical Cell and Tissue Biology and Excitable Cells, Medicine</t>
        </r>
      </text>
    </comment>
    <comment ref="S8" authorId="0" shapeId="0" xr:uid="{00000000-0006-0000-0100-00001B000000}">
      <text>
        <r>
          <rPr>
            <b/>
            <sz val="9"/>
            <color indexed="81"/>
            <rFont val="Tahoma"/>
            <family val="2"/>
          </rPr>
          <t>Jesper Brahm:</t>
        </r>
        <r>
          <rPr>
            <sz val="9"/>
            <color indexed="81"/>
            <rFont val="Tahoma"/>
            <family val="2"/>
          </rPr>
          <t xml:space="preserve">
Exam in Medical Cell and Tissue Biology and Excitable Cells, Medicine</t>
        </r>
      </text>
    </comment>
    <comment ref="T8" authorId="0" shapeId="0" xr:uid="{00000000-0006-0000-0100-00001C000000}">
      <text>
        <r>
          <rPr>
            <b/>
            <sz val="9"/>
            <color indexed="81"/>
            <rFont val="Tahoma"/>
            <family val="2"/>
          </rPr>
          <t>Jesper Brahm:</t>
        </r>
        <r>
          <rPr>
            <sz val="9"/>
            <color indexed="81"/>
            <rFont val="Tahoma"/>
            <family val="2"/>
          </rPr>
          <t xml:space="preserve">
4.5 t cellebiol + excitable
0.5 t spot</t>
        </r>
      </text>
    </comment>
    <comment ref="U8" authorId="0" shapeId="0" xr:uid="{00000000-0006-0000-0100-00001D000000}">
      <text>
        <r>
          <rPr>
            <b/>
            <sz val="9"/>
            <color indexed="81"/>
            <rFont val="Tahoma"/>
            <family val="2"/>
          </rPr>
          <t>Jesper Brahm:</t>
        </r>
        <r>
          <rPr>
            <sz val="9"/>
            <color indexed="81"/>
            <rFont val="Tahoma"/>
            <family val="2"/>
          </rPr>
          <t xml:space="preserve">
130 t integreret eksamen
50 t spot
180 i alt</t>
        </r>
      </text>
    </comment>
    <comment ref="V8" authorId="0" shapeId="0" xr:uid="{00000000-0006-0000-0100-00001E000000}">
      <text>
        <r>
          <rPr>
            <b/>
            <sz val="9"/>
            <color indexed="81"/>
            <rFont val="Tahoma"/>
            <family val="2"/>
          </rPr>
          <t>Jesper Brahm:</t>
        </r>
        <r>
          <rPr>
            <sz val="9"/>
            <color indexed="81"/>
            <rFont val="Tahoma"/>
            <family val="2"/>
          </rPr>
          <t xml:space="preserve">
Inkluderer både skriftlig (45 min) og spot (30 min)</t>
        </r>
      </text>
    </comment>
    <comment ref="O9" authorId="0" shapeId="0" xr:uid="{00000000-0006-0000-0100-00001F000000}">
      <text>
        <r>
          <rPr>
            <b/>
            <sz val="9"/>
            <color indexed="81"/>
            <rFont val="Tahoma"/>
            <family val="2"/>
          </rPr>
          <t>Jesper Brahm:</t>
        </r>
        <r>
          <rPr>
            <sz val="9"/>
            <color indexed="81"/>
            <rFont val="Tahoma"/>
            <family val="2"/>
          </rPr>
          <t xml:space="preserve">
Course in Medical Genetics, Medicine</t>
        </r>
      </text>
    </comment>
    <comment ref="S9" authorId="0" shapeId="0" xr:uid="{00000000-0006-0000-0100-000020000000}">
      <text>
        <r>
          <rPr>
            <b/>
            <sz val="9"/>
            <color indexed="81"/>
            <rFont val="Tahoma"/>
            <family val="2"/>
          </rPr>
          <t>Jesper Brahm:</t>
        </r>
        <r>
          <rPr>
            <sz val="9"/>
            <color indexed="81"/>
            <rFont val="Tahoma"/>
            <family val="2"/>
          </rPr>
          <t xml:space="preserve">
Exam in Medical Genetics, Medicine</t>
        </r>
      </text>
    </comment>
    <comment ref="O10" authorId="0" shapeId="0" xr:uid="{00000000-0006-0000-0100-000021000000}">
      <text>
        <r>
          <rPr>
            <b/>
            <sz val="9"/>
            <color indexed="81"/>
            <rFont val="Tahoma"/>
            <family val="2"/>
          </rPr>
          <t>Jesper Brahm:</t>
        </r>
        <r>
          <rPr>
            <sz val="9"/>
            <color indexed="81"/>
            <rFont val="Tahoma"/>
            <family val="2"/>
          </rPr>
          <t xml:space="preserve">
Medical and Health Psychology</t>
        </r>
      </text>
    </comment>
    <comment ref="S10" authorId="0" shapeId="0" xr:uid="{00000000-0006-0000-0100-000022000000}">
      <text>
        <r>
          <rPr>
            <b/>
            <sz val="9"/>
            <color indexed="81"/>
            <rFont val="Tahoma"/>
            <family val="2"/>
          </rPr>
          <t>Jesper Brahm:</t>
        </r>
        <r>
          <rPr>
            <sz val="9"/>
            <color indexed="81"/>
            <rFont val="Tahoma"/>
            <family val="2"/>
          </rPr>
          <t xml:space="preserve">
Skriftlig prøve, 3 timer med opsyn.</t>
        </r>
      </text>
    </comment>
    <comment ref="O11" authorId="0" shapeId="0" xr:uid="{00000000-0006-0000-0100-000023000000}">
      <text>
        <r>
          <rPr>
            <b/>
            <sz val="9"/>
            <color indexed="81"/>
            <rFont val="Tahoma"/>
            <family val="2"/>
          </rPr>
          <t>Jesper Brahm:</t>
        </r>
        <r>
          <rPr>
            <sz val="9"/>
            <color indexed="81"/>
            <rFont val="Tahoma"/>
            <family val="2"/>
          </rPr>
          <t xml:space="preserve">
Course in Head, Neck, the Locomotor System and the Peripheral Nervous</t>
        </r>
      </text>
    </comment>
    <comment ref="S11" authorId="0" shapeId="0" xr:uid="{00000000-0006-0000-0100-000024000000}">
      <text>
        <r>
          <rPr>
            <b/>
            <sz val="9"/>
            <color indexed="81"/>
            <rFont val="Tahoma"/>
            <family val="2"/>
          </rPr>
          <t>Jesper Brahm:</t>
        </r>
        <r>
          <rPr>
            <sz val="9"/>
            <color indexed="81"/>
            <rFont val="Tahoma"/>
            <family val="2"/>
          </rPr>
          <t xml:space="preserve">
Exam in Head, Neck, the Locomotor System and the Peripheral Nervous</t>
        </r>
      </text>
    </comment>
    <comment ref="X11" authorId="0" shapeId="0" xr:uid="{00000000-0006-0000-0100-000025000000}">
      <text>
        <r>
          <rPr>
            <b/>
            <sz val="9"/>
            <color indexed="81"/>
            <rFont val="Tahoma"/>
            <family val="2"/>
          </rPr>
          <t>Jesper Brahm:</t>
        </r>
        <r>
          <rPr>
            <sz val="9"/>
            <color indexed="81"/>
            <rFont val="Tahoma"/>
            <family val="2"/>
          </rPr>
          <t xml:space="preserve">
Mundtlig prøve (35 min) og spot (mundtlig, 1 time)</t>
        </r>
      </text>
    </comment>
    <comment ref="X12" authorId="0" shapeId="0" xr:uid="{00000000-0006-0000-0100-000026000000}">
      <text>
        <r>
          <rPr>
            <b/>
            <sz val="9"/>
            <color indexed="81"/>
            <rFont val="Tahoma"/>
            <family val="2"/>
          </rPr>
          <t>Jesper Brahm:</t>
        </r>
        <r>
          <rPr>
            <sz val="9"/>
            <color indexed="81"/>
            <rFont val="Tahoma"/>
            <family val="2"/>
          </rPr>
          <t xml:space="preserve">
Mundtlig prøve (35 min) og spot (mundtlig, 1 time) iflg. ordningen. ECTS sat til 2.5 for at få regnskabet (30 ECTS/sem) til at gå op</t>
        </r>
      </text>
    </comment>
    <comment ref="O13" authorId="0" shapeId="0" xr:uid="{00000000-0006-0000-0100-000027000000}">
      <text>
        <r>
          <rPr>
            <b/>
            <sz val="9"/>
            <color indexed="81"/>
            <rFont val="Tahoma"/>
            <family val="2"/>
          </rPr>
          <t>Jesper Brahm:</t>
        </r>
        <r>
          <rPr>
            <sz val="9"/>
            <color indexed="81"/>
            <rFont val="Tahoma"/>
            <family val="2"/>
          </rPr>
          <t xml:space="preserve">
Course in the Structure and Function of the Central Nervous System</t>
        </r>
      </text>
    </comment>
    <comment ref="S13" authorId="0" shapeId="0" xr:uid="{00000000-0006-0000-0100-000028000000}">
      <text>
        <r>
          <rPr>
            <b/>
            <sz val="9"/>
            <color indexed="81"/>
            <rFont val="Tahoma"/>
            <family val="2"/>
          </rPr>
          <t>Jesper Brahm:</t>
        </r>
        <r>
          <rPr>
            <sz val="9"/>
            <color indexed="81"/>
            <rFont val="Tahoma"/>
            <family val="2"/>
          </rPr>
          <t xml:space="preserve">
Kursusdeltagelse, Skriftlig aflevering, De obligatoriske elementer på kursus i centralnervesystemets struktur og funktion er: Mødepligt til og deltagelse i øvelsesundervisning, Beståelse af tre quizzer tilhørende kursets tre øvelser</t>
        </r>
      </text>
    </comment>
    <comment ref="O14" authorId="0" shapeId="0" xr:uid="{00000000-0006-0000-0100-000029000000}">
      <text>
        <r>
          <rPr>
            <b/>
            <sz val="9"/>
            <color indexed="81"/>
            <rFont val="Tahoma"/>
            <family val="2"/>
          </rPr>
          <t>Jesper Brahm:</t>
        </r>
        <r>
          <rPr>
            <sz val="9"/>
            <color indexed="81"/>
            <rFont val="Tahoma"/>
            <family val="2"/>
          </rPr>
          <t xml:space="preserve">
Theory of Science</t>
        </r>
      </text>
    </comment>
    <comment ref="S14" authorId="0" shapeId="0" xr:uid="{00000000-0006-0000-0100-00002A000000}">
      <text>
        <r>
          <rPr>
            <b/>
            <sz val="9"/>
            <color indexed="81"/>
            <rFont val="Tahoma"/>
            <family val="2"/>
          </rPr>
          <t>Jesper Brahm:</t>
        </r>
        <r>
          <rPr>
            <sz val="9"/>
            <color indexed="81"/>
            <rFont val="Tahoma"/>
            <family val="2"/>
          </rPr>
          <t xml:space="preserve">
Skriftlig aflevering, 24 timer
Hjemmeopgave 24 timer.
En side er ca. 2400 anslag inklusive mellemrum, 12 punkt skrift, mellemrum 1½</t>
        </r>
      </text>
    </comment>
    <comment ref="O15" authorId="0" shapeId="0" xr:uid="{00000000-0006-0000-0100-00002B000000}">
      <text>
        <r>
          <rPr>
            <b/>
            <sz val="9"/>
            <color indexed="81"/>
            <rFont val="Tahoma"/>
            <family val="2"/>
          </rPr>
          <t>Jesper Brahm:</t>
        </r>
        <r>
          <rPr>
            <sz val="9"/>
            <color indexed="81"/>
            <rFont val="Tahoma"/>
            <family val="2"/>
          </rPr>
          <t xml:space="preserve">
Course in Cardiovascular and Pulmonary Systems</t>
        </r>
      </text>
    </comment>
    <comment ref="O16" authorId="0" shapeId="0" xr:uid="{00000000-0006-0000-0100-00002C000000}">
      <text>
        <r>
          <rPr>
            <b/>
            <sz val="9"/>
            <color indexed="81"/>
            <rFont val="Tahoma"/>
            <family val="2"/>
          </rPr>
          <t>Jesper Brahm:</t>
        </r>
        <r>
          <rPr>
            <sz val="9"/>
            <color indexed="81"/>
            <rFont val="Tahoma"/>
            <family val="2"/>
          </rPr>
          <t xml:space="preserve">
Course in the Stomach, the Intestines and the Liver</t>
        </r>
      </text>
    </comment>
    <comment ref="O17" authorId="0" shapeId="0" xr:uid="{00000000-0006-0000-0100-00002D000000}">
      <text>
        <r>
          <rPr>
            <b/>
            <sz val="9"/>
            <color indexed="81"/>
            <rFont val="Tahoma"/>
            <family val="2"/>
          </rPr>
          <t>Jesper Brahm:</t>
        </r>
        <r>
          <rPr>
            <sz val="9"/>
            <color indexed="81"/>
            <rFont val="Tahoma"/>
            <family val="2"/>
          </rPr>
          <t xml:space="preserve">
Course in the Kidney and the Urinary Tract</t>
        </r>
      </text>
    </comment>
    <comment ref="O18" authorId="0" shapeId="0" xr:uid="{00000000-0006-0000-0100-00002E000000}">
      <text>
        <r>
          <rPr>
            <b/>
            <sz val="9"/>
            <color indexed="81"/>
            <rFont val="Tahoma"/>
            <family val="2"/>
          </rPr>
          <t>Jesper Brahm:</t>
        </r>
        <r>
          <rPr>
            <sz val="9"/>
            <color indexed="81"/>
            <rFont val="Tahoma"/>
            <family val="2"/>
          </rPr>
          <t xml:space="preserve">
Course in Endocrinology, the Reproduction System and Blood</t>
        </r>
      </text>
    </comment>
    <comment ref="O19" authorId="0" shapeId="0" xr:uid="{00000000-0006-0000-0100-00002F000000}">
      <text>
        <r>
          <rPr>
            <b/>
            <sz val="9"/>
            <color indexed="81"/>
            <rFont val="Tahoma"/>
            <family val="2"/>
          </rPr>
          <t>Jesper Brahm:</t>
        </r>
        <r>
          <rPr>
            <sz val="9"/>
            <color indexed="81"/>
            <rFont val="Tahoma"/>
            <family val="2"/>
          </rPr>
          <t xml:space="preserve">
Exam in the Renal System, Endocrinology and Blood</t>
        </r>
      </text>
    </comment>
    <comment ref="O20" authorId="0" shapeId="0" xr:uid="{00000000-0006-0000-0100-000030000000}">
      <text>
        <r>
          <rPr>
            <b/>
            <sz val="9"/>
            <color indexed="81"/>
            <rFont val="Tahoma"/>
            <family val="2"/>
          </rPr>
          <t>Jesper Brahm:</t>
        </r>
        <r>
          <rPr>
            <sz val="9"/>
            <color indexed="81"/>
            <rFont val="Tahoma"/>
            <family val="2"/>
          </rPr>
          <t xml:space="preserve">
Course in Immunology</t>
        </r>
      </text>
    </comment>
    <comment ref="S20" authorId="0" shapeId="0" xr:uid="{00000000-0006-0000-0100-000031000000}">
      <text>
        <r>
          <rPr>
            <b/>
            <sz val="9"/>
            <color indexed="81"/>
            <rFont val="Tahoma"/>
            <family val="2"/>
          </rPr>
          <t>Jesper Brahm:</t>
        </r>
        <r>
          <rPr>
            <sz val="9"/>
            <color indexed="81"/>
            <rFont val="Tahoma"/>
            <family val="2"/>
          </rPr>
          <t xml:space="preserve">
    Andet
    Ingen prøve</t>
        </r>
      </text>
    </comment>
    <comment ref="O21" authorId="0" shapeId="0" xr:uid="{00000000-0006-0000-0100-000032000000}">
      <text>
        <r>
          <rPr>
            <b/>
            <sz val="9"/>
            <color indexed="81"/>
            <rFont val="Tahoma"/>
            <family val="2"/>
          </rPr>
          <t>Jesper Brahm:</t>
        </r>
        <r>
          <rPr>
            <sz val="9"/>
            <color indexed="81"/>
            <rFont val="Tahoma"/>
            <family val="2"/>
          </rPr>
          <t xml:space="preserve">
Course in General Pathology</t>
        </r>
      </text>
    </comment>
    <comment ref="O22" authorId="0" shapeId="0" xr:uid="{00000000-0006-0000-0100-000033000000}">
      <text>
        <r>
          <rPr>
            <b/>
            <sz val="9"/>
            <color indexed="81"/>
            <rFont val="Tahoma"/>
            <family val="2"/>
          </rPr>
          <t>Jesper Brahm:</t>
        </r>
        <r>
          <rPr>
            <sz val="9"/>
            <color indexed="81"/>
            <rFont val="Tahoma"/>
            <family val="2"/>
          </rPr>
          <t xml:space="preserve">
Course in Basic Pharmacology</t>
        </r>
      </text>
    </comment>
    <comment ref="C23" authorId="0" shapeId="0" xr:uid="{00000000-0006-0000-0100-000034000000}">
      <text>
        <r>
          <rPr>
            <b/>
            <sz val="8"/>
            <color indexed="81"/>
            <rFont val="Tahoma"/>
            <family val="2"/>
          </rPr>
          <t>Jesper Brahm:</t>
        </r>
        <r>
          <rPr>
            <sz val="8"/>
            <color indexed="81"/>
            <rFont val="Tahoma"/>
            <family val="2"/>
          </rPr>
          <t xml:space="preserve">
Number of students in the same project</t>
        </r>
      </text>
    </comment>
    <comment ref="D23" authorId="0" shapeId="0" xr:uid="{00000000-0006-0000-0100-000035000000}">
      <text>
        <r>
          <rPr>
            <b/>
            <sz val="9"/>
            <color indexed="81"/>
            <rFont val="Tahoma"/>
            <family val="2"/>
          </rPr>
          <t>Jesper Brahm:</t>
        </r>
        <r>
          <rPr>
            <sz val="9"/>
            <color indexed="81"/>
            <rFont val="Tahoma"/>
            <family val="2"/>
          </rPr>
          <t xml:space="preserve">
Your share of the supervision and marking</t>
        </r>
      </text>
    </comment>
    <comment ref="O23" authorId="0" shapeId="0" xr:uid="{00000000-0006-0000-0100-000036000000}">
      <text>
        <r>
          <rPr>
            <b/>
            <sz val="9"/>
            <color indexed="81"/>
            <rFont val="Tahoma"/>
            <family val="2"/>
          </rPr>
          <t>Jesper Brahm:</t>
        </r>
        <r>
          <rPr>
            <sz val="9"/>
            <color indexed="81"/>
            <rFont val="Tahoma"/>
            <family val="2"/>
          </rPr>
          <t xml:space="preserve">
Exam in Basic Pharmacology, General Pathology and Immunology</t>
        </r>
      </text>
    </comment>
    <comment ref="V23" authorId="0" shapeId="0" xr:uid="{00000000-0006-0000-0100-000037000000}">
      <text>
        <r>
          <rPr>
            <b/>
            <sz val="9"/>
            <color indexed="81"/>
            <rFont val="Tahoma"/>
            <family val="2"/>
          </rPr>
          <t>Jesper Brahm:</t>
        </r>
        <r>
          <rPr>
            <sz val="9"/>
            <color indexed="81"/>
            <rFont val="Tahoma"/>
            <family val="2"/>
          </rPr>
          <t xml:space="preserve">
Censornorm: her er eksamen opgivet til 3 t og normen til 30 min</t>
        </r>
      </text>
    </comment>
    <comment ref="O24" authorId="0" shapeId="0" xr:uid="{00000000-0006-0000-0100-000038000000}">
      <text>
        <r>
          <rPr>
            <b/>
            <sz val="9"/>
            <color indexed="81"/>
            <rFont val="Tahoma"/>
            <family val="2"/>
          </rPr>
          <t>Jesper Brahm:</t>
        </r>
        <r>
          <rPr>
            <sz val="9"/>
            <color indexed="81"/>
            <rFont val="Tahoma"/>
            <family val="2"/>
          </rPr>
          <t xml:space="preserve">
Preparatory Course in Bachelor's Thesis, Medicine</t>
        </r>
      </text>
    </comment>
    <comment ref="V25" authorId="0" shapeId="0" xr:uid="{00000000-0006-0000-0100-000039000000}">
      <text>
        <r>
          <rPr>
            <b/>
            <sz val="9"/>
            <color indexed="81"/>
            <rFont val="Tahoma"/>
            <family val="2"/>
          </rPr>
          <t>Jesper Brahm:</t>
        </r>
        <r>
          <rPr>
            <sz val="9"/>
            <color indexed="81"/>
            <rFont val="Tahoma"/>
            <family val="2"/>
          </rPr>
          <t xml:space="preserve">
Inkluderet i vejledernormen
2*60 min vejledning
1*60 bedømmelse</t>
        </r>
      </text>
    </comment>
    <comment ref="X25" authorId="0" shapeId="0" xr:uid="{00000000-0006-0000-0100-00003A000000}">
      <text>
        <r>
          <rPr>
            <b/>
            <sz val="9"/>
            <color indexed="81"/>
            <rFont val="Tahoma"/>
            <family val="2"/>
          </rPr>
          <t>Jesper Brahm:</t>
        </r>
        <r>
          <rPr>
            <sz val="9"/>
            <color indexed="81"/>
            <rFont val="Tahoma"/>
            <family val="2"/>
          </rPr>
          <t xml:space="preserve">
Kursusdatabasen siger p.t. 5.0, men et notat siger 7.5</t>
        </r>
      </text>
    </comment>
    <comment ref="O26" authorId="0" shapeId="0" xr:uid="{00000000-0006-0000-0100-00003B000000}">
      <text>
        <r>
          <rPr>
            <b/>
            <sz val="9"/>
            <color indexed="81"/>
            <rFont val="Tahoma"/>
            <family val="2"/>
          </rPr>
          <t>Jesper Brahm:</t>
        </r>
        <r>
          <rPr>
            <sz val="9"/>
            <color indexed="81"/>
            <rFont val="Tahoma"/>
            <family val="2"/>
          </rPr>
          <t xml:space="preserve">
Course in Microbiology</t>
        </r>
      </text>
    </comment>
    <comment ref="S26" authorId="0" shapeId="0" xr:uid="{00000000-0006-0000-0100-00003C000000}">
      <text>
        <r>
          <rPr>
            <b/>
            <sz val="9"/>
            <color indexed="81"/>
            <rFont val="Tahoma"/>
            <family val="2"/>
          </rPr>
          <t>Jesper Brahm:</t>
        </r>
        <r>
          <rPr>
            <sz val="9"/>
            <color indexed="81"/>
            <rFont val="Tahoma"/>
            <family val="2"/>
          </rPr>
          <t xml:space="preserve">
Kursusdeltagelse
Skriftlig aflevering
De obligatoriske elementer på mikrobiologisk øvelseskursus er:
Mødepligt til og deltagelse i laboratorieøvelser
Aflevering af øvelsesrapporter</t>
        </r>
      </text>
    </comment>
    <comment ref="O27" authorId="0" shapeId="0" xr:uid="{00000000-0006-0000-0100-00003D000000}">
      <text>
        <r>
          <rPr>
            <b/>
            <sz val="9"/>
            <color indexed="81"/>
            <rFont val="Tahoma"/>
            <family val="2"/>
          </rPr>
          <t>Jesper Brahm:</t>
        </r>
        <r>
          <rPr>
            <sz val="9"/>
            <color indexed="81"/>
            <rFont val="Tahoma"/>
            <family val="2"/>
          </rPr>
          <t xml:space="preserve">
Course in Clinical Medicine
Bacheloruddannelsen i medicin - kurset er ikke obligatorisk</t>
        </r>
      </text>
    </comment>
    <comment ref="S27" authorId="0" shapeId="0" xr:uid="{00000000-0006-0000-0100-00003E000000}">
      <text>
        <r>
          <rPr>
            <b/>
            <sz val="9"/>
            <color indexed="81"/>
            <rFont val="Tahoma"/>
            <family val="2"/>
          </rPr>
          <t>Jesper Brahm:</t>
        </r>
        <r>
          <rPr>
            <sz val="9"/>
            <color indexed="81"/>
            <rFont val="Tahoma"/>
            <family val="2"/>
          </rPr>
          <t xml:space="preserve">
    Andet
    Ingen prøve</t>
        </r>
      </text>
    </comment>
    <comment ref="O28" authorId="0" shapeId="0" xr:uid="{00000000-0006-0000-0100-00003F000000}">
      <text>
        <r>
          <rPr>
            <b/>
            <sz val="9"/>
            <color indexed="81"/>
            <rFont val="Tahoma"/>
            <family val="2"/>
          </rPr>
          <t>Jesper Brahm:</t>
        </r>
        <r>
          <rPr>
            <sz val="9"/>
            <color indexed="81"/>
            <rFont val="Tahoma"/>
            <family val="2"/>
          </rPr>
          <t xml:space="preserve">
Exam in Microbiology and Clinical Medicine
Bacheloruddannelsen i medicin - obligatorisk</t>
        </r>
      </text>
    </comment>
    <comment ref="S28" authorId="0" shapeId="0" xr:uid="{00000000-0006-0000-0100-000040000000}">
      <text>
        <r>
          <rPr>
            <b/>
            <sz val="9"/>
            <color indexed="81"/>
            <rFont val="Tahoma"/>
            <family val="2"/>
          </rPr>
          <t>Jesper Brahm:</t>
        </r>
        <r>
          <rPr>
            <sz val="9"/>
            <color indexed="81"/>
            <rFont val="Tahoma"/>
            <family val="2"/>
          </rPr>
          <t xml:space="preserve">
Skriftlig prøve, 6 timer med opsyn.</t>
        </r>
      </text>
    </comment>
    <comment ref="K29" authorId="0" shapeId="0" xr:uid="{00000000-0006-0000-0100-000041000000}">
      <text>
        <r>
          <rPr>
            <b/>
            <sz val="9"/>
            <color indexed="81"/>
            <rFont val="Tahoma"/>
            <family val="2"/>
          </rPr>
          <t>Jesper Brahm:</t>
        </r>
        <r>
          <rPr>
            <sz val="9"/>
            <color indexed="81"/>
            <rFont val="Tahoma"/>
            <family val="2"/>
          </rPr>
          <t xml:space="preserve">
e.g. duration (h) of the exam, or the preparation factors 6, 3.5, 2.5, 1</t>
        </r>
      </text>
    </comment>
    <comment ref="O29" authorId="0" shapeId="0" xr:uid="{00000000-0006-0000-0100-000042000000}">
      <text>
        <r>
          <rPr>
            <b/>
            <sz val="9"/>
            <color indexed="81"/>
            <rFont val="Tahoma"/>
            <family val="2"/>
          </rPr>
          <t>Jesper Brahm:</t>
        </r>
        <r>
          <rPr>
            <sz val="9"/>
            <color indexed="81"/>
            <rFont val="Tahoma"/>
            <family val="2"/>
          </rPr>
          <t xml:space="preserve">
Diagnostic Sciences</t>
        </r>
      </text>
    </comment>
    <comment ref="S29" authorId="0" shapeId="0" xr:uid="{00000000-0006-0000-0100-000043000000}">
      <text>
        <r>
          <rPr>
            <b/>
            <sz val="9"/>
            <color indexed="81"/>
            <rFont val="Tahoma"/>
            <family val="2"/>
          </rPr>
          <t>Jesper Brahm:</t>
        </r>
        <r>
          <rPr>
            <sz val="9"/>
            <color indexed="81"/>
            <rFont val="Tahoma"/>
            <family val="2"/>
          </rPr>
          <t xml:space="preserve">
    Skriftlig prøve, 3 timer med opsyn.
    Multiple choice</t>
        </r>
      </text>
    </comment>
    <comment ref="O30" authorId="0" shapeId="0" xr:uid="{00000000-0006-0000-0100-000044000000}">
      <text>
        <r>
          <rPr>
            <b/>
            <sz val="9"/>
            <color indexed="81"/>
            <rFont val="Tahoma"/>
            <family val="2"/>
          </rPr>
          <t>Jesper Brahm:</t>
        </r>
        <r>
          <rPr>
            <sz val="9"/>
            <color indexed="81"/>
            <rFont val="Tahoma"/>
            <family val="2"/>
          </rPr>
          <t xml:space="preserve">
Course in Clinical Medicine
Bacheloruddannelsen i medicin - kurset er ikke obligatorisk</t>
        </r>
      </text>
    </comment>
    <comment ref="S30" authorId="0" shapeId="0" xr:uid="{00000000-0006-0000-0100-000045000000}">
      <text>
        <r>
          <rPr>
            <b/>
            <sz val="9"/>
            <color indexed="81"/>
            <rFont val="Tahoma"/>
            <family val="2"/>
          </rPr>
          <t>Jesper Brahm:</t>
        </r>
        <r>
          <rPr>
            <sz val="9"/>
            <color indexed="81"/>
            <rFont val="Tahoma"/>
            <family val="2"/>
          </rPr>
          <t xml:space="preserve">
    Andet
    Ingen prøve</t>
        </r>
      </text>
    </comment>
    <comment ref="O31" authorId="0" shapeId="0" xr:uid="{00000000-0006-0000-0100-000046000000}">
      <text>
        <r>
          <rPr>
            <b/>
            <sz val="9"/>
            <color indexed="81"/>
            <rFont val="Tahoma"/>
            <family val="2"/>
          </rPr>
          <t>Jesper Brahm:</t>
        </r>
        <r>
          <rPr>
            <sz val="9"/>
            <color indexed="81"/>
            <rFont val="Tahoma"/>
            <family val="2"/>
          </rPr>
          <t xml:space="preserve">
Clinical Course in Dermatology and Venereology</t>
        </r>
      </text>
    </comment>
    <comment ref="S31" authorId="0" shapeId="0" xr:uid="{00000000-0006-0000-0100-000047000000}">
      <text>
        <r>
          <rPr>
            <b/>
            <sz val="9"/>
            <color indexed="81"/>
            <rFont val="Tahoma"/>
            <family val="2"/>
          </rPr>
          <t>Jesper Brahm:</t>
        </r>
        <r>
          <rPr>
            <sz val="9"/>
            <color indexed="81"/>
            <rFont val="Tahoma"/>
            <family val="2"/>
          </rPr>
          <t xml:space="preserve">
    Kursusdeltagelse
    Kursusattest på baggrund af godkendt deltagelse i undervisningen</t>
        </r>
      </text>
    </comment>
    <comment ref="O32" authorId="0" shapeId="0" xr:uid="{00000000-0006-0000-0100-000048000000}">
      <text>
        <r>
          <rPr>
            <b/>
            <sz val="9"/>
            <color indexed="81"/>
            <rFont val="Tahoma"/>
            <family val="2"/>
          </rPr>
          <t>Jesper Brahm:</t>
        </r>
        <r>
          <rPr>
            <sz val="9"/>
            <color indexed="81"/>
            <rFont val="Tahoma"/>
            <family val="2"/>
          </rPr>
          <t xml:space="preserve">
OSCE i intern medicin, kirurgi, anæstesiologi og diagnostiske specialer
OSCE in Internal Medicine, Surgery, Anaesthesiology and Diagnostic Sciences</t>
        </r>
      </text>
    </comment>
    <comment ref="S32" authorId="0" shapeId="0" xr:uid="{00000000-0006-0000-0100-000049000000}">
      <text>
        <r>
          <rPr>
            <b/>
            <sz val="9"/>
            <color indexed="81"/>
            <rFont val="Tahoma"/>
            <family val="2"/>
          </rPr>
          <t>Jesper Brahm:</t>
        </r>
        <r>
          <rPr>
            <sz val="9"/>
            <color indexed="81"/>
            <rFont val="Tahoma"/>
            <family val="2"/>
          </rPr>
          <t xml:space="preserve">
Andet, 2 timer
OSCE - stationsbaseret eksamen med mundtlige og praktiske opgaver
</t>
        </r>
      </text>
    </comment>
    <comment ref="W32" authorId="0" shapeId="0" xr:uid="{00000000-0006-0000-0100-00004A000000}">
      <text>
        <r>
          <rPr>
            <b/>
            <sz val="9"/>
            <color indexed="81"/>
            <rFont val="Tahoma"/>
            <family val="2"/>
          </rPr>
          <t>Jesper Brahm:</t>
        </r>
        <r>
          <rPr>
            <sz val="9"/>
            <color indexed="81"/>
            <rFont val="Tahoma"/>
            <family val="2"/>
          </rPr>
          <t xml:space="preserve">
8 t pr. eksaminator</t>
        </r>
      </text>
    </comment>
    <comment ref="O33" authorId="0" shapeId="0" xr:uid="{00000000-0006-0000-0100-00004B000000}">
      <text>
        <r>
          <rPr>
            <b/>
            <sz val="9"/>
            <color indexed="81"/>
            <rFont val="Tahoma"/>
            <family val="2"/>
          </rPr>
          <t>Jesper Brahm:</t>
        </r>
        <r>
          <rPr>
            <sz val="9"/>
            <color indexed="81"/>
            <rFont val="Tahoma"/>
            <family val="2"/>
          </rPr>
          <t xml:space="preserve">
Klinisk kursus i psykiatri inklusive børne- og ungdomspsykiatri
Clinical Course in Psychiatry including Child and Adolescent Psychiatry</t>
        </r>
      </text>
    </comment>
    <comment ref="S33" authorId="0" shapeId="0" xr:uid="{00000000-0006-0000-0100-00004C000000}">
      <text>
        <r>
          <rPr>
            <b/>
            <sz val="9"/>
            <color indexed="81"/>
            <rFont val="Tahoma"/>
            <family val="2"/>
          </rPr>
          <t>Jesper Brahm:</t>
        </r>
        <r>
          <rPr>
            <sz val="9"/>
            <color indexed="81"/>
            <rFont val="Tahoma"/>
            <family val="2"/>
          </rPr>
          <t xml:space="preserve">
    Kursusdeltagelse
    Kursusattest opnås på baggrund af godkendt deltagelse i undervisningen og godkendt logbog.</t>
        </r>
      </text>
    </comment>
    <comment ref="O34" authorId="0" shapeId="0" xr:uid="{00000000-0006-0000-0100-00004D000000}">
      <text>
        <r>
          <rPr>
            <b/>
            <sz val="9"/>
            <color indexed="81"/>
            <rFont val="Tahoma"/>
            <family val="2"/>
          </rPr>
          <t>Jesper Brahm:</t>
        </r>
        <r>
          <rPr>
            <sz val="9"/>
            <color indexed="81"/>
            <rFont val="Tahoma"/>
            <family val="2"/>
          </rPr>
          <t xml:space="preserve">
Master's Thesis (10 ECTS), Medicine</t>
        </r>
      </text>
    </comment>
    <comment ref="S34" authorId="0" shapeId="0" xr:uid="{00000000-0006-0000-0100-00004E000000}">
      <text>
        <r>
          <rPr>
            <b/>
            <sz val="9"/>
            <color indexed="81"/>
            <rFont val="Tahoma"/>
            <family val="2"/>
          </rPr>
          <t>Jesper Brahm:</t>
        </r>
        <r>
          <rPr>
            <sz val="9"/>
            <color indexed="81"/>
            <rFont val="Tahoma"/>
            <family val="2"/>
          </rPr>
          <t xml:space="preserve">
Skriftlig aflevering, jf. nedenstående
Mundtligt forsvar, 45 minutter
Den mundtlig prøve fordeler sig på 25 minutters mundtlig
fremlæggelse af specialet med anvendelse af AV-udstyr efterfulgt af 20 minutters videnskabelig diskussion med vægt på problemstillinger rejst i specialet.
Det skriftlige kandidatspeciale på 10 ETCS skal have et omfang på ca. 20 sider (inkl. figurer, tabeller og referencer). Alternativt kan den studerende vælge at aflevere et (publiceret eller upubliceret)
manuskript, hvor vedkommende er førsteforfatter</t>
        </r>
      </text>
    </comment>
    <comment ref="O35" authorId="0" shapeId="0" xr:uid="{00000000-0006-0000-0100-00004F000000}">
      <text>
        <r>
          <rPr>
            <b/>
            <sz val="9"/>
            <color indexed="81"/>
            <rFont val="Tahoma"/>
            <family val="2"/>
          </rPr>
          <t>Jesper Brahm:</t>
        </r>
        <r>
          <rPr>
            <sz val="9"/>
            <color indexed="81"/>
            <rFont val="Tahoma"/>
            <family val="2"/>
          </rPr>
          <t xml:space="preserve">
Master's Thesis (22,5 ECTS), Medicine</t>
        </r>
      </text>
    </comment>
    <comment ref="O36" authorId="0" shapeId="0" xr:uid="{00000000-0006-0000-0100-000050000000}">
      <text>
        <r>
          <rPr>
            <b/>
            <sz val="9"/>
            <color indexed="81"/>
            <rFont val="Tahoma"/>
            <family val="2"/>
          </rPr>
          <t>Jesper Brahm:</t>
        </r>
        <r>
          <rPr>
            <sz val="9"/>
            <color indexed="81"/>
            <rFont val="Tahoma"/>
            <family val="2"/>
          </rPr>
          <t xml:space="preserve">
Master's Thesis, Health Science</t>
        </r>
      </text>
    </comment>
    <comment ref="S36" authorId="0" shapeId="0" xr:uid="{00000000-0006-0000-0100-000051000000}">
      <text>
        <r>
          <rPr>
            <b/>
            <sz val="9"/>
            <color indexed="81"/>
            <rFont val="Tahoma"/>
            <family val="2"/>
          </rPr>
          <t>Jesper Brahm:</t>
        </r>
        <r>
          <rPr>
            <sz val="9"/>
            <color indexed="81"/>
            <rFont val="Tahoma"/>
            <family val="2"/>
          </rPr>
          <t xml:space="preserve">
Skriftlig aflevering
Mundtligt forsvar, 60 minutter</t>
        </r>
      </text>
    </comment>
    <comment ref="O37" authorId="0" shapeId="0" xr:uid="{00000000-0006-0000-0100-000052000000}">
      <text>
        <r>
          <rPr>
            <b/>
            <sz val="9"/>
            <color indexed="81"/>
            <rFont val="Tahoma"/>
            <family val="2"/>
          </rPr>
          <t>Jesper Brahm:</t>
        </r>
        <r>
          <rPr>
            <sz val="9"/>
            <color indexed="81"/>
            <rFont val="Tahoma"/>
            <family val="2"/>
          </rPr>
          <t xml:space="preserve">
SMEA15012U</t>
        </r>
      </text>
    </comment>
    <comment ref="S37" authorId="0" shapeId="0" xr:uid="{00000000-0006-0000-0100-000053000000}">
      <text>
        <r>
          <rPr>
            <b/>
            <sz val="9"/>
            <color indexed="81"/>
            <rFont val="Tahoma"/>
            <family val="2"/>
          </rPr>
          <t>Jesper Brahm:</t>
        </r>
        <r>
          <rPr>
            <sz val="9"/>
            <color indexed="81"/>
            <rFont val="Tahoma"/>
            <family val="2"/>
          </rPr>
          <t xml:space="preserve">
Skriftlig prøve, 6 timer med opsyn.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Jesper Brahm</author>
  </authors>
  <commentList>
    <comment ref="I1" authorId="0" shapeId="0" xr:uid="{00000000-0006-0000-0200-000001000000}">
      <text>
        <r>
          <rPr>
            <b/>
            <sz val="8"/>
            <color indexed="81"/>
            <rFont val="Tahoma"/>
            <family val="2"/>
          </rPr>
          <t>Jesper Brahm:</t>
        </r>
        <r>
          <rPr>
            <sz val="8"/>
            <color indexed="81"/>
            <rFont val="Tahoma"/>
            <family val="2"/>
          </rPr>
          <t xml:space="preserve">
The percentage you mark of the individual exam set</t>
        </r>
      </text>
    </comment>
    <comment ref="J1" authorId="0" shapeId="0" xr:uid="{00000000-0006-0000-0200-000002000000}">
      <text>
        <r>
          <rPr>
            <b/>
            <sz val="9"/>
            <color indexed="81"/>
            <rFont val="Tahoma"/>
            <family val="2"/>
          </rPr>
          <t>Jesper Brahm:</t>
        </r>
        <r>
          <rPr>
            <sz val="9"/>
            <color indexed="81"/>
            <rFont val="Tahoma"/>
            <family val="2"/>
          </rPr>
          <t xml:space="preserve">
Varighed af eksamen</t>
        </r>
      </text>
    </comment>
    <comment ref="K1" authorId="0" shapeId="0" xr:uid="{00000000-0006-0000-0200-000003000000}">
      <text>
        <r>
          <rPr>
            <b/>
            <sz val="9"/>
            <color indexed="81"/>
            <rFont val="Tahoma"/>
            <family val="2"/>
          </rPr>
          <t>Jesper Brahm:</t>
        </r>
        <r>
          <rPr>
            <sz val="9"/>
            <color indexed="81"/>
            <rFont val="Tahoma"/>
            <family val="2"/>
          </rPr>
          <t xml:space="preserve">
UR-hour/exercise (written)
or
UR-hour/student (oral)</t>
        </r>
      </text>
    </comment>
    <comment ref="S1" authorId="0" shapeId="0" xr:uid="{00000000-0006-0000-0200-000004000000}">
      <text>
        <r>
          <rPr>
            <b/>
            <sz val="9"/>
            <color indexed="81"/>
            <rFont val="Tahoma"/>
            <family val="2"/>
          </rPr>
          <t>Jesper Brahm:</t>
        </r>
        <r>
          <rPr>
            <sz val="9"/>
            <color indexed="81"/>
            <rFont val="Tahoma"/>
            <family val="2"/>
          </rPr>
          <t xml:space="preserve">
Type og timer</t>
        </r>
      </text>
    </comment>
    <comment ref="U1" authorId="0" shapeId="0" xr:uid="{00000000-0006-0000-0200-000005000000}">
      <text>
        <r>
          <rPr>
            <b/>
            <sz val="9"/>
            <color indexed="81"/>
            <rFont val="Tahoma"/>
            <family val="2"/>
          </rPr>
          <t>Jesper Brahm:</t>
        </r>
        <r>
          <rPr>
            <sz val="9"/>
            <color indexed="81"/>
            <rFont val="Tahoma"/>
            <family val="2"/>
          </rPr>
          <t xml:space="preserve">
Timer</t>
        </r>
      </text>
    </comment>
    <comment ref="V1" authorId="0" shapeId="0" xr:uid="{00000000-0006-0000-0200-000006000000}">
      <text>
        <r>
          <rPr>
            <b/>
            <sz val="9"/>
            <color indexed="81"/>
            <rFont val="Tahoma"/>
            <family val="2"/>
          </rPr>
          <t>Jesper Brahm:</t>
        </r>
        <r>
          <rPr>
            <sz val="9"/>
            <color indexed="81"/>
            <rFont val="Tahoma"/>
            <family val="2"/>
          </rPr>
          <t xml:space="preserve">
Minutter og UR pr. sæt/eksamination
</t>
        </r>
      </text>
    </comment>
    <comment ref="O3" authorId="0" shapeId="0" xr:uid="{00000000-0006-0000-0200-000007000000}">
      <text>
        <r>
          <rPr>
            <b/>
            <sz val="9"/>
            <color indexed="81"/>
            <rFont val="Tahoma"/>
            <family val="2"/>
          </rPr>
          <t>Jesper Brahm:</t>
        </r>
        <r>
          <rPr>
            <sz val="9"/>
            <color indexed="81"/>
            <rFont val="Tahoma"/>
            <family val="2"/>
          </rPr>
          <t xml:space="preserve">
Basic Human Biology and the Chemical Components of the Cells, Dental Surgery</t>
        </r>
      </text>
    </comment>
    <comment ref="S3" authorId="0" shapeId="0" xr:uid="{00000000-0006-0000-0200-000008000000}">
      <text>
        <r>
          <rPr>
            <b/>
            <sz val="9"/>
            <color indexed="81"/>
            <rFont val="Tahoma"/>
            <family val="2"/>
          </rPr>
          <t>Jesper Brahm:</t>
        </r>
        <r>
          <rPr>
            <sz val="9"/>
            <color indexed="81"/>
            <rFont val="Tahoma"/>
            <family val="2"/>
          </rPr>
          <t xml:space="preserve">
Skriftlig prøve, 4 timer med opsyn.</t>
        </r>
      </text>
    </comment>
    <comment ref="T3" authorId="0" shapeId="0" xr:uid="{00000000-0006-0000-0200-000009000000}">
      <text>
        <r>
          <rPr>
            <b/>
            <sz val="9"/>
            <color indexed="81"/>
            <rFont val="Tahoma"/>
            <family val="2"/>
          </rPr>
          <t>Jesper Brahm:</t>
        </r>
        <r>
          <rPr>
            <sz val="9"/>
            <color indexed="81"/>
            <rFont val="Tahoma"/>
            <family val="2"/>
          </rPr>
          <t xml:space="preserve">
integreret og 50+20 MC</t>
        </r>
      </text>
    </comment>
    <comment ref="U3" authorId="0" shapeId="0" xr:uid="{00000000-0006-0000-0200-00000A000000}">
      <text>
        <r>
          <rPr>
            <b/>
            <sz val="9"/>
            <color indexed="81"/>
            <rFont val="Tahoma"/>
            <family val="2"/>
          </rPr>
          <t>Jesper Brahm:</t>
        </r>
        <r>
          <rPr>
            <sz val="9"/>
            <color indexed="81"/>
            <rFont val="Tahoma"/>
            <family val="2"/>
          </rPr>
          <t xml:space="preserve">
4 t integreret = 130 t
MC =100 t
I alt 230 t</t>
        </r>
      </text>
    </comment>
    <comment ref="V3" authorId="0" shapeId="0" xr:uid="{00000000-0006-0000-0200-00000B000000}">
      <text>
        <r>
          <rPr>
            <b/>
            <sz val="9"/>
            <color indexed="81"/>
            <rFont val="Tahoma"/>
            <family val="2"/>
          </rPr>
          <t>Jesper Brahm:</t>
        </r>
        <r>
          <rPr>
            <sz val="9"/>
            <color indexed="81"/>
            <rFont val="Tahoma"/>
            <family val="2"/>
          </rPr>
          <t xml:space="preserve">
3 t til integr.
1 t til MC</t>
        </r>
      </text>
    </comment>
    <comment ref="O4" authorId="0" shapeId="0" xr:uid="{00000000-0006-0000-0200-00000C000000}">
      <text>
        <r>
          <rPr>
            <b/>
            <sz val="9"/>
            <color indexed="81"/>
            <rFont val="Tahoma"/>
            <family val="2"/>
          </rPr>
          <t>Jesper Brahm:</t>
        </r>
        <r>
          <rPr>
            <sz val="9"/>
            <color indexed="81"/>
            <rFont val="Tahoma"/>
            <family val="2"/>
          </rPr>
          <t xml:space="preserve">
Course in Medical Cell and Tissue Biology, Dental Surgery</t>
        </r>
      </text>
    </comment>
    <comment ref="T4" authorId="0" shapeId="0" xr:uid="{00000000-0006-0000-0200-00000D000000}">
      <text>
        <r>
          <rPr>
            <b/>
            <sz val="9"/>
            <color indexed="81"/>
            <rFont val="Tahoma"/>
            <family val="2"/>
          </rPr>
          <t>Jesper Brahm:</t>
        </r>
        <r>
          <rPr>
            <sz val="9"/>
            <color indexed="81"/>
            <rFont val="Tahoma"/>
            <family val="2"/>
          </rPr>
          <t xml:space="preserve">
5 t *(12.5/15) - 0.5= 3.66 t</t>
        </r>
      </text>
    </comment>
    <comment ref="U4" authorId="0" shapeId="0" xr:uid="{00000000-0006-0000-0200-00000E000000}">
      <text>
        <r>
          <rPr>
            <b/>
            <sz val="9"/>
            <color indexed="81"/>
            <rFont val="Tahoma"/>
            <family val="2"/>
          </rPr>
          <t>Jesper Brahm:</t>
        </r>
        <r>
          <rPr>
            <sz val="9"/>
            <color indexed="81"/>
            <rFont val="Tahoma"/>
            <family val="2"/>
          </rPr>
          <t xml:space="preserve">
130*12.5/15</t>
        </r>
      </text>
    </comment>
    <comment ref="V4" authorId="0" shapeId="0" xr:uid="{00000000-0006-0000-0200-00000F000000}">
      <text>
        <r>
          <rPr>
            <b/>
            <sz val="8"/>
            <color indexed="81"/>
            <rFont val="Tahoma"/>
            <family val="2"/>
          </rPr>
          <t>Jesper Brahm:</t>
        </r>
        <r>
          <rPr>
            <sz val="8"/>
            <color indexed="81"/>
            <rFont val="Tahoma"/>
            <family val="2"/>
          </rPr>
          <t xml:space="preserve">
5*50 - 30 (spot) - 50 (excitable celler) =170 min, dvs. bedømmelse = 20 min
Sættes til 25 min</t>
        </r>
      </text>
    </comment>
    <comment ref="X4" authorId="0" shapeId="0" xr:uid="{00000000-0006-0000-0200-000010000000}">
      <text>
        <r>
          <rPr>
            <b/>
            <sz val="9"/>
            <color indexed="81"/>
            <rFont val="Tahoma"/>
            <family val="2"/>
          </rPr>
          <t>Jesper Brahm:</t>
        </r>
        <r>
          <rPr>
            <sz val="9"/>
            <color indexed="81"/>
            <rFont val="Tahoma"/>
            <family val="2"/>
          </rPr>
          <t xml:space="preserve">
Skriftlig prøve og skriftlig spot</t>
        </r>
      </text>
    </comment>
    <comment ref="O6" authorId="0" shapeId="0" xr:uid="{00000000-0006-0000-0200-000011000000}">
      <text>
        <r>
          <rPr>
            <b/>
            <sz val="9"/>
            <color indexed="81"/>
            <rFont val="Tahoma"/>
            <family val="2"/>
          </rPr>
          <t>Jesper Brahm:</t>
        </r>
        <r>
          <rPr>
            <sz val="9"/>
            <color indexed="81"/>
            <rFont val="Tahoma"/>
            <family val="2"/>
          </rPr>
          <t xml:space="preserve">
Course in Excitable Cells, Dental Surgery</t>
        </r>
      </text>
    </comment>
    <comment ref="U6" authorId="0" shapeId="0" xr:uid="{00000000-0006-0000-0200-000012000000}">
      <text>
        <r>
          <rPr>
            <b/>
            <sz val="9"/>
            <color indexed="81"/>
            <rFont val="Tahoma"/>
            <family val="2"/>
          </rPr>
          <t>Jesper Brahm:</t>
        </r>
        <r>
          <rPr>
            <sz val="9"/>
            <color indexed="81"/>
            <rFont val="Tahoma"/>
            <family val="2"/>
          </rPr>
          <t xml:space="preserve">
130*2.5/15</t>
        </r>
      </text>
    </comment>
    <comment ref="V6" authorId="0" shapeId="0" xr:uid="{00000000-0006-0000-0200-000013000000}">
      <text>
        <r>
          <rPr>
            <b/>
            <sz val="8"/>
            <color indexed="81"/>
            <rFont val="Tahoma"/>
            <family val="2"/>
          </rPr>
          <t>Jesper Brahm:</t>
        </r>
        <r>
          <rPr>
            <sz val="8"/>
            <color indexed="81"/>
            <rFont val="Tahoma"/>
            <family val="2"/>
          </rPr>
          <t xml:space="preserve">
5*60*2.5/15=50 min, dvs. bedømmelse = 10 min
Sættes til 15 min
</t>
        </r>
      </text>
    </comment>
    <comment ref="O7" authorId="0" shapeId="0" xr:uid="{00000000-0006-0000-0200-000014000000}">
      <text>
        <r>
          <rPr>
            <b/>
            <sz val="9"/>
            <color indexed="81"/>
            <rFont val="Tahoma"/>
            <family val="2"/>
          </rPr>
          <t>Jesper Brahm:</t>
        </r>
        <r>
          <rPr>
            <sz val="9"/>
            <color indexed="81"/>
            <rFont val="Tahoma"/>
            <family val="2"/>
          </rPr>
          <t xml:space="preserve">
Exam in Medical Cell and Tissue Biology and Excitable Cells, Dental Surgery</t>
        </r>
      </text>
    </comment>
    <comment ref="S7" authorId="0" shapeId="0" xr:uid="{00000000-0006-0000-0200-000015000000}">
      <text>
        <r>
          <rPr>
            <b/>
            <sz val="9"/>
            <color indexed="81"/>
            <rFont val="Tahoma"/>
            <family val="2"/>
          </rPr>
          <t>Jesper Brahm:</t>
        </r>
        <r>
          <rPr>
            <sz val="9"/>
            <color indexed="81"/>
            <rFont val="Tahoma"/>
            <family val="2"/>
          </rPr>
          <t xml:space="preserve">
    Skriftlig prøve, 5 timer med opsyn.
Skriftlig eksamen inklusive spotspørgsmål inden for mikroskopi på pc.</t>
        </r>
      </text>
    </comment>
    <comment ref="T7" authorId="0" shapeId="0" xr:uid="{00000000-0006-0000-0200-000016000000}">
      <text>
        <r>
          <rPr>
            <b/>
            <sz val="9"/>
            <color indexed="81"/>
            <rFont val="Tahoma"/>
            <family val="2"/>
          </rPr>
          <t>Jesper Brahm:</t>
        </r>
        <r>
          <rPr>
            <sz val="9"/>
            <color indexed="81"/>
            <rFont val="Tahoma"/>
            <family val="2"/>
          </rPr>
          <t xml:space="preserve">
4.5 t cellebiol + excitable
0.5 t spot</t>
        </r>
      </text>
    </comment>
    <comment ref="U7" authorId="0" shapeId="0" xr:uid="{00000000-0006-0000-0200-000017000000}">
      <text>
        <r>
          <rPr>
            <b/>
            <sz val="9"/>
            <color indexed="81"/>
            <rFont val="Tahoma"/>
            <family val="2"/>
          </rPr>
          <t>Jesper Brahm:</t>
        </r>
        <r>
          <rPr>
            <sz val="9"/>
            <color indexed="81"/>
            <rFont val="Tahoma"/>
            <family val="2"/>
          </rPr>
          <t xml:space="preserve">
130 t integreret eksamen
50 t spot
180 i alt</t>
        </r>
      </text>
    </comment>
    <comment ref="V7" authorId="0" shapeId="0" xr:uid="{00000000-0006-0000-0200-000018000000}">
      <text>
        <r>
          <rPr>
            <b/>
            <sz val="9"/>
            <color indexed="81"/>
            <rFont val="Tahoma"/>
            <family val="2"/>
          </rPr>
          <t>Jesper Brahm:</t>
        </r>
        <r>
          <rPr>
            <sz val="9"/>
            <color indexed="81"/>
            <rFont val="Tahoma"/>
            <family val="2"/>
          </rPr>
          <t xml:space="preserve">
Inkluderer både skriftlig (45 min) og spot (30 min)</t>
        </r>
      </text>
    </comment>
    <comment ref="O8" authorId="0" shapeId="0" xr:uid="{00000000-0006-0000-0200-000019000000}">
      <text>
        <r>
          <rPr>
            <b/>
            <sz val="9"/>
            <color indexed="81"/>
            <rFont val="Tahoma"/>
            <family val="2"/>
          </rPr>
          <t>Jesper Brahm:</t>
        </r>
        <r>
          <rPr>
            <sz val="9"/>
            <color indexed="81"/>
            <rFont val="Tahoma"/>
            <family val="2"/>
          </rPr>
          <t xml:space="preserve">
Medical Genetics, Dental Surgery</t>
        </r>
      </text>
    </comment>
    <comment ref="S8" authorId="0" shapeId="0" xr:uid="{00000000-0006-0000-0200-00001A000000}">
      <text>
        <r>
          <rPr>
            <b/>
            <sz val="9"/>
            <color indexed="81"/>
            <rFont val="Tahoma"/>
            <family val="2"/>
          </rPr>
          <t>Jesper Brahm:</t>
        </r>
        <r>
          <rPr>
            <sz val="9"/>
            <color indexed="81"/>
            <rFont val="Tahoma"/>
            <family val="2"/>
          </rPr>
          <t xml:space="preserve">
Skriftlig prøve, 2 timer med opsyn.</t>
        </r>
      </text>
    </comment>
    <comment ref="O9" authorId="0" shapeId="0" xr:uid="{00000000-0006-0000-0200-00001B000000}">
      <text>
        <r>
          <rPr>
            <b/>
            <sz val="9"/>
            <color indexed="81"/>
            <rFont val="Tahoma"/>
            <family val="2"/>
          </rPr>
          <t>Jesper Brahm:</t>
        </r>
        <r>
          <rPr>
            <sz val="9"/>
            <color indexed="81"/>
            <rFont val="Tahoma"/>
            <family val="2"/>
          </rPr>
          <t xml:space="preserve">
Anatomy of the Head, the Neck, and the Central Nervous System</t>
        </r>
      </text>
    </comment>
    <comment ref="O10" authorId="0" shapeId="0" xr:uid="{00000000-0006-0000-0200-00001C000000}">
      <text>
        <r>
          <rPr>
            <b/>
            <sz val="9"/>
            <color indexed="81"/>
            <rFont val="Tahoma"/>
            <family val="2"/>
          </rPr>
          <t>Jesper Brahm:</t>
        </r>
        <r>
          <rPr>
            <sz val="9"/>
            <color indexed="81"/>
            <rFont val="Tahoma"/>
            <family val="2"/>
          </rPr>
          <t xml:space="preserve">
Medical Physiology and Pathophysiology, dental surgery</t>
        </r>
      </text>
    </comment>
    <comment ref="S10" authorId="0" shapeId="0" xr:uid="{00000000-0006-0000-0200-00001D000000}">
      <text>
        <r>
          <rPr>
            <b/>
            <sz val="9"/>
            <color indexed="81"/>
            <rFont val="Tahoma"/>
            <family val="2"/>
          </rPr>
          <t>Jesper Brahm:</t>
        </r>
        <r>
          <rPr>
            <sz val="9"/>
            <color indexed="81"/>
            <rFont val="Tahoma"/>
            <family val="2"/>
          </rPr>
          <t xml:space="preserve">
Mundtlig prøve, 30 min
med 30 minutters forberedelse</t>
        </r>
      </text>
    </comment>
    <comment ref="O11" authorId="0" shapeId="0" xr:uid="{00000000-0006-0000-0200-00001E000000}">
      <text>
        <r>
          <rPr>
            <b/>
            <sz val="9"/>
            <color indexed="81"/>
            <rFont val="Tahoma"/>
            <family val="2"/>
          </rPr>
          <t>Jesper Brahm:</t>
        </r>
        <r>
          <rPr>
            <sz val="9"/>
            <color indexed="81"/>
            <rFont val="Tahoma"/>
            <family val="2"/>
          </rPr>
          <t xml:space="preserve">
Biochemistry</t>
        </r>
      </text>
    </comment>
    <comment ref="V11" authorId="0" shapeId="0" xr:uid="{00000000-0006-0000-0200-00001F000000}">
      <text>
        <r>
          <rPr>
            <b/>
            <sz val="9"/>
            <color indexed="81"/>
            <rFont val="Tahoma"/>
            <family val="2"/>
          </rPr>
          <t>Jesper Brahm:</t>
        </r>
        <r>
          <rPr>
            <sz val="9"/>
            <color indexed="81"/>
            <rFont val="Tahoma"/>
            <family val="2"/>
          </rPr>
          <t xml:space="preserve">
Inkluderet i vejledernormen</t>
        </r>
      </text>
    </comment>
    <comment ref="O12" authorId="0" shapeId="0" xr:uid="{00000000-0006-0000-0200-000020000000}">
      <text>
        <r>
          <rPr>
            <b/>
            <sz val="9"/>
            <color indexed="81"/>
            <rFont val="Tahoma"/>
            <family val="2"/>
          </rPr>
          <t>Jesper Brahm:</t>
        </r>
        <r>
          <rPr>
            <sz val="9"/>
            <color indexed="81"/>
            <rFont val="Tahoma"/>
            <family val="2"/>
          </rPr>
          <t xml:space="preserve">
Organernes struktur og funktion i den raske og den syge krop 
Structure and function of the organs - How the body works in health and disease</t>
        </r>
      </text>
    </comment>
    <comment ref="O13" authorId="0" shapeId="0" xr:uid="{00000000-0006-0000-0200-000021000000}">
      <text>
        <r>
          <rPr>
            <b/>
            <sz val="9"/>
            <color indexed="81"/>
            <rFont val="Tahoma"/>
            <family val="2"/>
          </rPr>
          <t>Jesper Brahm:</t>
        </r>
        <r>
          <rPr>
            <sz val="9"/>
            <color indexed="81"/>
            <rFont val="Tahoma"/>
            <family val="2"/>
          </rPr>
          <t xml:space="preserve">
Bachelor's Thesis, Dental Surgery</t>
        </r>
      </text>
    </comment>
    <comment ref="V13" authorId="0" shapeId="0" xr:uid="{00000000-0006-0000-0200-000022000000}">
      <text>
        <r>
          <rPr>
            <b/>
            <sz val="9"/>
            <color indexed="81"/>
            <rFont val="Tahoma"/>
            <family val="2"/>
          </rPr>
          <t>Jesper Brahm:</t>
        </r>
        <r>
          <rPr>
            <sz val="9"/>
            <color indexed="81"/>
            <rFont val="Tahoma"/>
            <family val="2"/>
          </rPr>
          <t xml:space="preserve">
Inkluderet i vejledernormen</t>
        </r>
      </text>
    </comment>
    <comment ref="O14" authorId="0" shapeId="0" xr:uid="{00000000-0006-0000-0200-000023000000}">
      <text>
        <r>
          <rPr>
            <b/>
            <sz val="9"/>
            <color indexed="81"/>
            <rFont val="Tahoma"/>
            <family val="2"/>
          </rPr>
          <t>Jesper Brahm:</t>
        </r>
        <r>
          <rPr>
            <sz val="9"/>
            <color indexed="81"/>
            <rFont val="Tahoma"/>
            <family val="2"/>
          </rPr>
          <t xml:space="preserve">
Pharmacology</t>
        </r>
      </text>
    </comment>
    <comment ref="S15" authorId="0" shapeId="0" xr:uid="{00000000-0006-0000-0200-000024000000}">
      <text>
        <r>
          <rPr>
            <b/>
            <sz val="9"/>
            <color indexed="81"/>
            <rFont val="Tahoma"/>
            <family val="2"/>
          </rPr>
          <t>Jesper Brahm:</t>
        </r>
        <r>
          <rPr>
            <sz val="9"/>
            <color indexed="81"/>
            <rFont val="Tahoma"/>
            <family val="2"/>
          </rPr>
          <t xml:space="preserve">
Mundtl. Eks.: 1 t
Inkl. Rapport
Aftalt norm: 3.5 UR-timer/stud</t>
        </r>
      </text>
    </comment>
    <comment ref="V15" authorId="0" shapeId="0" xr:uid="{00000000-0006-0000-0200-000025000000}">
      <text>
        <r>
          <rPr>
            <b/>
            <sz val="9"/>
            <color indexed="81"/>
            <rFont val="Tahoma"/>
            <family val="2"/>
          </rPr>
          <t>Jesper Brahm:</t>
        </r>
        <r>
          <rPr>
            <sz val="9"/>
            <color indexed="81"/>
            <rFont val="Tahoma"/>
            <family val="2"/>
          </rPr>
          <t xml:space="preserve">
Særaftale med dekanatet (kilde: LV)</t>
        </r>
      </text>
    </comment>
    <comment ref="S16" authorId="0" shapeId="0" xr:uid="{00000000-0006-0000-0200-000026000000}">
      <text>
        <r>
          <rPr>
            <b/>
            <sz val="9"/>
            <color indexed="81"/>
            <rFont val="Tahoma"/>
            <family val="2"/>
          </rPr>
          <t>Jesper Brahm:</t>
        </r>
        <r>
          <rPr>
            <sz val="9"/>
            <color indexed="81"/>
            <rFont val="Tahoma"/>
            <family val="2"/>
          </rPr>
          <t xml:space="preserve">
Mundtl. Eks.: 1 t
Inkl. Rapport
Aftalt norm: 3.5 UR-timer/stud</t>
        </r>
      </text>
    </comment>
    <comment ref="V16" authorId="0" shapeId="0" xr:uid="{00000000-0006-0000-0200-000027000000}">
      <text>
        <r>
          <rPr>
            <b/>
            <sz val="9"/>
            <color indexed="81"/>
            <rFont val="Tahoma"/>
            <family val="2"/>
          </rPr>
          <t>Jesper Brahm:</t>
        </r>
        <r>
          <rPr>
            <sz val="9"/>
            <color indexed="81"/>
            <rFont val="Tahoma"/>
            <family val="2"/>
          </rPr>
          <t xml:space="preserve">
Særaftale med dekanatet (kilde: LV)</t>
        </r>
      </text>
    </comment>
    <comment ref="O17" authorId="0" shapeId="0" xr:uid="{00000000-0006-0000-0200-000028000000}">
      <text>
        <r>
          <rPr>
            <b/>
            <sz val="9"/>
            <color indexed="81"/>
            <rFont val="Tahoma"/>
            <family val="2"/>
          </rPr>
          <t>Jesper Brahm:</t>
        </r>
        <r>
          <rPr>
            <sz val="9"/>
            <color indexed="81"/>
            <rFont val="Tahoma"/>
            <family val="2"/>
          </rPr>
          <t xml:space="preserve">
Søren Brunak, CPC, DTU
Uafklarede forhold</t>
        </r>
      </text>
    </comment>
    <comment ref="S17" authorId="0" shapeId="0" xr:uid="{00000000-0006-0000-0200-000029000000}">
      <text>
        <r>
          <rPr>
            <b/>
            <sz val="9"/>
            <color indexed="81"/>
            <rFont val="Tahoma"/>
            <family val="2"/>
          </rPr>
          <t>Jesper Brahm:</t>
        </r>
        <r>
          <rPr>
            <sz val="9"/>
            <color indexed="81"/>
            <rFont val="Tahoma"/>
            <family val="2"/>
          </rPr>
          <t xml:space="preserve">
Mundtl. Eks.: 1 t
Inkl. Rapport
Aftalt norm: 3.5 UR-timer/stud</t>
        </r>
      </text>
    </comment>
    <comment ref="V17" authorId="0" shapeId="0" xr:uid="{00000000-0006-0000-0200-00002A000000}">
      <text>
        <r>
          <rPr>
            <b/>
            <sz val="9"/>
            <color indexed="81"/>
            <rFont val="Tahoma"/>
            <family val="2"/>
          </rPr>
          <t>Jesper Brahm:</t>
        </r>
        <r>
          <rPr>
            <sz val="9"/>
            <color indexed="81"/>
            <rFont val="Tahoma"/>
            <family val="2"/>
          </rPr>
          <t xml:space="preserve">
Særaftale med dekanatet (kilde: LV)</t>
        </r>
      </text>
    </comment>
    <comment ref="S18" authorId="0" shapeId="0" xr:uid="{00000000-0006-0000-0200-00002B000000}">
      <text>
        <r>
          <rPr>
            <b/>
            <sz val="9"/>
            <color indexed="81"/>
            <rFont val="Tahoma"/>
            <family val="2"/>
          </rPr>
          <t>Jesper Brahm:</t>
        </r>
        <r>
          <rPr>
            <sz val="9"/>
            <color indexed="81"/>
            <rFont val="Tahoma"/>
            <family val="2"/>
          </rPr>
          <t xml:space="preserve">
Mundtl. Eks.: 1 t
Inkl. Rapport
Aftalt norm: 3.5 UR-timer/stud</t>
        </r>
      </text>
    </comment>
    <comment ref="V18" authorId="0" shapeId="0" xr:uid="{00000000-0006-0000-0200-00002C000000}">
      <text>
        <r>
          <rPr>
            <b/>
            <sz val="9"/>
            <color indexed="81"/>
            <rFont val="Tahoma"/>
            <family val="2"/>
          </rPr>
          <t>Jesper Brahm:</t>
        </r>
        <r>
          <rPr>
            <sz val="9"/>
            <color indexed="81"/>
            <rFont val="Tahoma"/>
            <family val="2"/>
          </rPr>
          <t xml:space="preserve">
Særaftale med dekanatet (kilde: LV)</t>
        </r>
      </text>
    </comment>
    <comment ref="O19" authorId="0" shapeId="0" xr:uid="{00000000-0006-0000-0200-00002D000000}">
      <text>
        <r>
          <rPr>
            <b/>
            <sz val="9"/>
            <color indexed="81"/>
            <rFont val="Tahoma"/>
            <family val="2"/>
          </rPr>
          <t>Jesper Brahm:</t>
        </r>
        <r>
          <rPr>
            <sz val="9"/>
            <color indexed="81"/>
            <rFont val="Tahoma"/>
            <family val="2"/>
          </rPr>
          <t xml:space="preserve">
MSc Programme in Human Biology - compulsory</t>
        </r>
      </text>
    </comment>
    <comment ref="S19" authorId="0" shapeId="0" xr:uid="{00000000-0006-0000-0200-00002E000000}">
      <text>
        <r>
          <rPr>
            <b/>
            <sz val="9"/>
            <color indexed="81"/>
            <rFont val="Tahoma"/>
            <family val="2"/>
          </rPr>
          <t>Jesper Brahm:</t>
        </r>
        <r>
          <rPr>
            <sz val="9"/>
            <color indexed="81"/>
            <rFont val="Tahoma"/>
            <family val="2"/>
          </rPr>
          <t xml:space="preserve">
Oral examination, 20 minutes
without preparation time. Students will be randomized for examination in anatomy or physiology</t>
        </r>
      </text>
    </comment>
    <comment ref="O20" authorId="0" shapeId="0" xr:uid="{00000000-0006-0000-0200-00002F000000}">
      <text>
        <r>
          <rPr>
            <b/>
            <sz val="9"/>
            <color indexed="81"/>
            <rFont val="Tahoma"/>
            <family val="2"/>
          </rPr>
          <t>Jesper Brahm:</t>
        </r>
        <r>
          <rPr>
            <sz val="9"/>
            <color indexed="81"/>
            <rFont val="Tahoma"/>
            <family val="2"/>
          </rPr>
          <t xml:space="preserve">
Human Neurobiology</t>
        </r>
      </text>
    </comment>
    <comment ref="S20" authorId="0" shapeId="0" xr:uid="{00000000-0006-0000-0200-000030000000}">
      <text>
        <r>
          <rPr>
            <b/>
            <sz val="9"/>
            <color indexed="81"/>
            <rFont val="Tahoma"/>
            <family val="2"/>
          </rPr>
          <t>Jesper Brahm:</t>
        </r>
        <r>
          <rPr>
            <sz val="9"/>
            <color indexed="81"/>
            <rFont val="Tahoma"/>
            <family val="2"/>
          </rPr>
          <t xml:space="preserve">
30 min forberedelse
30 min eksamination
Ekstern censur</t>
        </r>
      </text>
    </comment>
    <comment ref="V20" authorId="0" shapeId="0" xr:uid="{00000000-0006-0000-0200-000031000000}">
      <text>
        <r>
          <rPr>
            <b/>
            <sz val="9"/>
            <color indexed="81"/>
            <rFont val="Tahoma"/>
            <family val="2"/>
          </rPr>
          <t>Jesper Brahm:</t>
        </r>
        <r>
          <rPr>
            <sz val="9"/>
            <color indexed="81"/>
            <rFont val="Tahoma"/>
            <family val="2"/>
          </rPr>
          <t xml:space="preserve">
estimeret ud fra censurnormen 20 min eksamination sv.t. 30 min censur</t>
        </r>
      </text>
    </comment>
    <comment ref="O21" authorId="0" shapeId="0" xr:uid="{00000000-0006-0000-0200-000032000000}">
      <text>
        <r>
          <rPr>
            <b/>
            <sz val="9"/>
            <color indexed="81"/>
            <rFont val="Tahoma"/>
            <family val="2"/>
          </rPr>
          <t>Jesper Brahm:</t>
        </r>
        <r>
          <rPr>
            <sz val="9"/>
            <color indexed="81"/>
            <rFont val="Tahoma"/>
            <family val="2"/>
          </rPr>
          <t xml:space="preserve">
MSc Programme in Human Biology - compulsory</t>
        </r>
      </text>
    </comment>
    <comment ref="S21" authorId="0" shapeId="0" xr:uid="{00000000-0006-0000-0200-000033000000}">
      <text>
        <r>
          <rPr>
            <b/>
            <sz val="9"/>
            <color indexed="81"/>
            <rFont val="Tahoma"/>
            <family val="2"/>
          </rPr>
          <t>Jesper Brahm:</t>
        </r>
        <r>
          <rPr>
            <sz val="9"/>
            <color indexed="81"/>
            <rFont val="Tahoma"/>
            <family val="2"/>
          </rPr>
          <t xml:space="preserve">
Written examination, 4 hours under invigilation
Written examination, 4 hours, consisting of a mixture of essays, clinical case stories and short answer questions.</t>
        </r>
      </text>
    </comment>
    <comment ref="O22" authorId="0" shapeId="0" xr:uid="{00000000-0006-0000-0200-000034000000}">
      <text>
        <r>
          <rPr>
            <b/>
            <sz val="9"/>
            <color indexed="81"/>
            <rFont val="Tahoma"/>
            <family val="2"/>
          </rPr>
          <t>Jesper Brahm:</t>
        </r>
        <r>
          <rPr>
            <sz val="9"/>
            <color indexed="81"/>
            <rFont val="Tahoma"/>
            <family val="2"/>
          </rPr>
          <t xml:space="preserve">
Neuronal signaling</t>
        </r>
      </text>
    </comment>
    <comment ref="S22" authorId="0" shapeId="0" xr:uid="{00000000-0006-0000-0200-000035000000}">
      <text>
        <r>
          <rPr>
            <b/>
            <sz val="9"/>
            <color indexed="81"/>
            <rFont val="Tahoma"/>
            <family val="2"/>
          </rPr>
          <t>Jesper Brahm:</t>
        </r>
        <r>
          <rPr>
            <sz val="9"/>
            <color indexed="81"/>
            <rFont val="Tahoma"/>
            <family val="2"/>
          </rPr>
          <t xml:space="preserve">
Intern</t>
        </r>
      </text>
    </comment>
    <comment ref="T22" authorId="0" shapeId="0" xr:uid="{00000000-0006-0000-0200-000036000000}">
      <text>
        <r>
          <rPr>
            <b/>
            <sz val="9"/>
            <color indexed="81"/>
            <rFont val="Tahoma"/>
            <family val="2"/>
          </rPr>
          <t>Jesper Brahm:</t>
        </r>
        <r>
          <rPr>
            <sz val="9"/>
            <color indexed="81"/>
            <rFont val="Tahoma"/>
            <family val="2"/>
          </rPr>
          <t xml:space="preserve">
Estimeret længde</t>
        </r>
      </text>
    </comment>
    <comment ref="C23" authorId="0" shapeId="0" xr:uid="{00000000-0006-0000-0200-000037000000}">
      <text>
        <r>
          <rPr>
            <b/>
            <sz val="8"/>
            <color indexed="81"/>
            <rFont val="Tahoma"/>
            <family val="2"/>
          </rPr>
          <t>Jesper Brahm:</t>
        </r>
        <r>
          <rPr>
            <sz val="8"/>
            <color indexed="81"/>
            <rFont val="Tahoma"/>
            <family val="2"/>
          </rPr>
          <t xml:space="preserve">
Number of students in the same project</t>
        </r>
      </text>
    </comment>
    <comment ref="D23" authorId="0" shapeId="0" xr:uid="{00000000-0006-0000-0200-000038000000}">
      <text>
        <r>
          <rPr>
            <b/>
            <sz val="9"/>
            <color indexed="81"/>
            <rFont val="Tahoma"/>
            <family val="2"/>
          </rPr>
          <t>Jesper Brahm:</t>
        </r>
        <r>
          <rPr>
            <sz val="9"/>
            <color indexed="81"/>
            <rFont val="Tahoma"/>
            <family val="2"/>
          </rPr>
          <t xml:space="preserve">
Your share of the supervision and marking</t>
        </r>
      </text>
    </comment>
    <comment ref="O23" authorId="0" shapeId="0" xr:uid="{00000000-0006-0000-0200-000039000000}">
      <text>
        <r>
          <rPr>
            <b/>
            <sz val="9"/>
            <color indexed="81"/>
            <rFont val="Tahoma"/>
            <family val="2"/>
          </rPr>
          <t>Jesper Brahm:</t>
        </r>
        <r>
          <rPr>
            <sz val="9"/>
            <color indexed="81"/>
            <rFont val="Tahoma"/>
            <family val="2"/>
          </rPr>
          <t xml:space="preserve">
Pharmacology and toxicology</t>
        </r>
      </text>
    </comment>
    <comment ref="O24" authorId="0" shapeId="0" xr:uid="{00000000-0006-0000-0200-00003A000000}">
      <text>
        <r>
          <rPr>
            <b/>
            <sz val="9"/>
            <color indexed="81"/>
            <rFont val="Tahoma"/>
            <family val="2"/>
          </rPr>
          <t>Jesper Brahm:</t>
        </r>
        <r>
          <rPr>
            <sz val="9"/>
            <color indexed="81"/>
            <rFont val="Tahoma"/>
            <family val="2"/>
          </rPr>
          <t xml:space="preserve">
Drug discovery and development in Neuroscience</t>
        </r>
      </text>
    </comment>
    <comment ref="S24" authorId="0" shapeId="0" xr:uid="{00000000-0006-0000-0200-00003B000000}">
      <text>
        <r>
          <rPr>
            <b/>
            <sz val="9"/>
            <color indexed="81"/>
            <rFont val="Tahoma"/>
            <family val="2"/>
          </rPr>
          <t>Jesper Brahm:</t>
        </r>
        <r>
          <rPr>
            <sz val="9"/>
            <color indexed="81"/>
            <rFont val="Tahoma"/>
            <family val="2"/>
          </rPr>
          <t xml:space="preserve">
Intern</t>
        </r>
      </text>
    </comment>
    <comment ref="O25" authorId="0" shapeId="0" xr:uid="{00000000-0006-0000-0200-00003C000000}">
      <text>
        <r>
          <rPr>
            <b/>
            <sz val="9"/>
            <color indexed="81"/>
            <rFont val="Tahoma"/>
            <family val="2"/>
          </rPr>
          <t>Jesper Brahm:</t>
        </r>
        <r>
          <rPr>
            <sz val="9"/>
            <color indexed="81"/>
            <rFont val="Tahoma"/>
            <family val="2"/>
          </rPr>
          <t xml:space="preserve">
Experimental design in Neuroscience</t>
        </r>
      </text>
    </comment>
    <comment ref="S25" authorId="0" shapeId="0" xr:uid="{00000000-0006-0000-0200-00003D000000}">
      <text>
        <r>
          <rPr>
            <b/>
            <sz val="9"/>
            <color indexed="81"/>
            <rFont val="Tahoma"/>
            <family val="2"/>
          </rPr>
          <t>Jesper Brahm:</t>
        </r>
        <r>
          <rPr>
            <sz val="9"/>
            <color indexed="81"/>
            <rFont val="Tahoma"/>
            <family val="2"/>
          </rPr>
          <t xml:space="preserve">
Intern</t>
        </r>
      </text>
    </comment>
    <comment ref="O26" authorId="0" shapeId="0" xr:uid="{00000000-0006-0000-0200-00003E000000}">
      <text>
        <r>
          <rPr>
            <b/>
            <sz val="9"/>
            <color indexed="81"/>
            <rFont val="Tahoma"/>
            <family val="2"/>
          </rPr>
          <t>Jesper Brahm:</t>
        </r>
        <r>
          <rPr>
            <sz val="9"/>
            <color indexed="81"/>
            <rFont val="Tahoma"/>
            <family val="2"/>
          </rPr>
          <t xml:space="preserve">
Grant Application Writing</t>
        </r>
      </text>
    </comment>
    <comment ref="S26" authorId="0" shapeId="0" xr:uid="{00000000-0006-0000-0200-00003F000000}">
      <text>
        <r>
          <rPr>
            <b/>
            <sz val="9"/>
            <color indexed="81"/>
            <rFont val="Tahoma"/>
            <family val="2"/>
          </rPr>
          <t>Jesper Brahm:</t>
        </r>
        <r>
          <rPr>
            <sz val="9"/>
            <color indexed="81"/>
            <rFont val="Tahoma"/>
            <family val="2"/>
          </rPr>
          <t xml:space="preserve">
Intern
Sat til 7-10 sider</t>
        </r>
      </text>
    </comment>
    <comment ref="O27" authorId="0" shapeId="0" xr:uid="{00000000-0006-0000-0200-000040000000}">
      <text>
        <r>
          <rPr>
            <b/>
            <sz val="9"/>
            <color indexed="81"/>
            <rFont val="Tahoma"/>
            <family val="2"/>
          </rPr>
          <t>Jesper Brahm:</t>
        </r>
        <r>
          <rPr>
            <sz val="9"/>
            <color indexed="81"/>
            <rFont val="Tahoma"/>
            <family val="2"/>
          </rPr>
          <t xml:space="preserve">
Master's Thesis, Human Biology</t>
        </r>
      </text>
    </comment>
    <comment ref="O28" authorId="0" shapeId="0" xr:uid="{00000000-0006-0000-0200-000041000000}">
      <text>
        <r>
          <rPr>
            <b/>
            <sz val="9"/>
            <color indexed="81"/>
            <rFont val="Tahoma"/>
            <family val="2"/>
          </rPr>
          <t>Jesper Brahm:</t>
        </r>
        <r>
          <rPr>
            <sz val="9"/>
            <color indexed="81"/>
            <rFont val="Tahoma"/>
            <family val="2"/>
          </rPr>
          <t xml:space="preserve">
Thesis in Immunology and Inflammation. MSc in Immunology and Inflammation.</t>
        </r>
      </text>
    </comment>
    <comment ref="S28" authorId="0" shapeId="0" xr:uid="{00000000-0006-0000-0200-000042000000}">
      <text>
        <r>
          <rPr>
            <b/>
            <sz val="9"/>
            <color indexed="81"/>
            <rFont val="Tahoma"/>
            <family val="2"/>
          </rPr>
          <t>Jesper Brahm:</t>
        </r>
        <r>
          <rPr>
            <sz val="9"/>
            <color indexed="81"/>
            <rFont val="Tahoma"/>
            <family val="2"/>
          </rPr>
          <t xml:space="preserve">
 Written assignment. Oral defence, 1 hour. The master’s thesis must be prepared in accordance with the approved thesis contract and shall correspond to minimum 50 and maximum 70 pages written in Times New Roman point 12, line spacing 1.5 and excluding references and optional appendixes. The thesis must include an abstract written in English of no more then 1 A4 page. The abstract must summarize the background for the research project, the research question, the methods used, important findings and a conclusion. The abstract will be included in the overall assessment of the master’s thesis. Assessment will be based on the student’s spelling and writing skills as well as the scientific content of the thesis. The scientific content will carry most weight. The oral 60-minutes exam consist of 25 minutes of oral presentation of the master’s thesis using AV equipment followed by 30 minutes of scientific discussion focusing on the issues of the thesis</t>
        </r>
      </text>
    </comment>
    <comment ref="K29" authorId="0" shapeId="0" xr:uid="{00000000-0006-0000-0200-000043000000}">
      <text>
        <r>
          <rPr>
            <b/>
            <sz val="9"/>
            <color indexed="81"/>
            <rFont val="Tahoma"/>
            <family val="2"/>
          </rPr>
          <t>Jesper Brahm:</t>
        </r>
        <r>
          <rPr>
            <sz val="9"/>
            <color indexed="81"/>
            <rFont val="Tahoma"/>
            <family val="2"/>
          </rPr>
          <t xml:space="preserve">
e.g. duration (h) of the exam, or the preparation factors 6, 3.5, 2.5, 1</t>
        </r>
      </text>
    </comment>
    <comment ref="O29" authorId="0" shapeId="0" xr:uid="{00000000-0006-0000-0200-000044000000}">
      <text>
        <r>
          <rPr>
            <b/>
            <sz val="9"/>
            <color indexed="81"/>
            <rFont val="Tahoma"/>
            <family val="2"/>
          </rPr>
          <t>Jesper Brahm:</t>
        </r>
        <r>
          <rPr>
            <sz val="9"/>
            <color indexed="81"/>
            <rFont val="Tahoma"/>
            <family val="2"/>
          </rPr>
          <t xml:space="preserve">
MSc in Neuroscience - compulsory</t>
        </r>
      </text>
    </comment>
    <comment ref="S30" authorId="0" shapeId="0" xr:uid="{00000000-0006-0000-0200-000045000000}">
      <text>
        <r>
          <rPr>
            <b/>
            <sz val="9"/>
            <color indexed="81"/>
            <rFont val="Tahoma"/>
            <family val="2"/>
          </rPr>
          <t>Jesper Brahm:</t>
        </r>
        <r>
          <rPr>
            <sz val="9"/>
            <color indexed="81"/>
            <rFont val="Tahoma"/>
            <family val="2"/>
          </rPr>
          <t xml:space="preserve">
Intern.     Course participation
    Oral presentation and discussion in course plenum of a case-story in drug-discovery or biotech company establisment and management. Typically in the form of a Group (2-4 students) presentation.</t>
        </r>
      </text>
    </comment>
    <comment ref="T30" authorId="0" shapeId="0" xr:uid="{00000000-0006-0000-0200-000046000000}">
      <text>
        <r>
          <rPr>
            <b/>
            <sz val="9"/>
            <color indexed="81"/>
            <rFont val="Tahoma"/>
            <family val="2"/>
          </rPr>
          <t>Jesper Brahm:</t>
        </r>
        <r>
          <rPr>
            <sz val="9"/>
            <color indexed="81"/>
            <rFont val="Tahoma"/>
            <family val="2"/>
          </rPr>
          <t xml:space="preserve">
Estimeret længde</t>
        </r>
      </text>
    </comment>
    <comment ref="O31" authorId="0" shapeId="0" xr:uid="{00000000-0006-0000-0200-000047000000}">
      <text>
        <r>
          <rPr>
            <b/>
            <sz val="9"/>
            <color indexed="81"/>
            <rFont val="Tahoma"/>
            <family val="2"/>
          </rPr>
          <t>Jesper Brahm:</t>
        </r>
        <r>
          <rPr>
            <sz val="9"/>
            <color indexed="81"/>
            <rFont val="Tahoma"/>
            <family val="2"/>
          </rPr>
          <t xml:space="preserve">
Course in Medical Cell and Tissue Biology, Molecular Biomedicine</t>
        </r>
      </text>
    </comment>
    <comment ref="T31" authorId="0" shapeId="0" xr:uid="{00000000-0006-0000-0200-000048000000}">
      <text>
        <r>
          <rPr>
            <b/>
            <sz val="9"/>
            <color indexed="81"/>
            <rFont val="Tahoma"/>
            <family val="2"/>
          </rPr>
          <t>Jesper Brahm:</t>
        </r>
        <r>
          <rPr>
            <sz val="9"/>
            <color indexed="81"/>
            <rFont val="Tahoma"/>
            <family val="2"/>
          </rPr>
          <t xml:space="preserve">
5 t *(12.5/15) - 0.5= 3.66 t</t>
        </r>
      </text>
    </comment>
    <comment ref="U31" authorId="0" shapeId="0" xr:uid="{00000000-0006-0000-0200-000049000000}">
      <text>
        <r>
          <rPr>
            <b/>
            <sz val="9"/>
            <color indexed="81"/>
            <rFont val="Tahoma"/>
            <family val="2"/>
          </rPr>
          <t>Jesper Brahm:</t>
        </r>
        <r>
          <rPr>
            <sz val="9"/>
            <color indexed="81"/>
            <rFont val="Tahoma"/>
            <family val="2"/>
          </rPr>
          <t xml:space="preserve">
130*12.5/15</t>
        </r>
      </text>
    </comment>
    <comment ref="V31" authorId="0" shapeId="0" xr:uid="{00000000-0006-0000-0200-00004A000000}">
      <text>
        <r>
          <rPr>
            <b/>
            <sz val="8"/>
            <color indexed="81"/>
            <rFont val="Tahoma"/>
            <family val="2"/>
          </rPr>
          <t>Jesper Brahm:</t>
        </r>
        <r>
          <rPr>
            <sz val="8"/>
            <color indexed="81"/>
            <rFont val="Tahoma"/>
            <family val="2"/>
          </rPr>
          <t xml:space="preserve">
5*50 - 30 (spot) - 50 (excitable celler) =170 min, dvs. bedømmelse = 20 min
Sættes til 25 min</t>
        </r>
      </text>
    </comment>
    <comment ref="X31" authorId="0" shapeId="0" xr:uid="{00000000-0006-0000-0200-00004B000000}">
      <text>
        <r>
          <rPr>
            <b/>
            <sz val="9"/>
            <color indexed="81"/>
            <rFont val="Tahoma"/>
            <family val="2"/>
          </rPr>
          <t>Jesper Brahm:</t>
        </r>
        <r>
          <rPr>
            <sz val="9"/>
            <color indexed="81"/>
            <rFont val="Tahoma"/>
            <family val="2"/>
          </rPr>
          <t xml:space="preserve">
Skriftlig prøve og skriftlig spot</t>
        </r>
      </text>
    </comment>
    <comment ref="O33" authorId="0" shapeId="0" xr:uid="{00000000-0006-0000-0200-00004C000000}">
      <text>
        <r>
          <rPr>
            <b/>
            <sz val="9"/>
            <color indexed="81"/>
            <rFont val="Tahoma"/>
            <family val="2"/>
          </rPr>
          <t>Jesper Brahm:</t>
        </r>
        <r>
          <rPr>
            <sz val="9"/>
            <color indexed="81"/>
            <rFont val="Tahoma"/>
            <family val="2"/>
          </rPr>
          <t xml:space="preserve">
Course in Excitable Cells, Molecular Biomedicine</t>
        </r>
      </text>
    </comment>
    <comment ref="T33" authorId="0" shapeId="0" xr:uid="{00000000-0006-0000-0200-00004D000000}">
      <text>
        <r>
          <rPr>
            <b/>
            <sz val="9"/>
            <color indexed="81"/>
            <rFont val="Tahoma"/>
            <family val="2"/>
          </rPr>
          <t>Jesper Brahm:</t>
        </r>
        <r>
          <rPr>
            <sz val="9"/>
            <color indexed="81"/>
            <rFont val="Tahoma"/>
            <family val="2"/>
          </rPr>
          <t xml:space="preserve">
5 t *(2.5/15)= 0.83 t</t>
        </r>
      </text>
    </comment>
    <comment ref="U33" authorId="0" shapeId="0" xr:uid="{00000000-0006-0000-0200-00004E000000}">
      <text>
        <r>
          <rPr>
            <b/>
            <sz val="9"/>
            <color indexed="81"/>
            <rFont val="Tahoma"/>
            <family val="2"/>
          </rPr>
          <t>Jesper Brahm:</t>
        </r>
        <r>
          <rPr>
            <sz val="9"/>
            <color indexed="81"/>
            <rFont val="Tahoma"/>
            <family val="2"/>
          </rPr>
          <t xml:space="preserve">
130*2.5/15</t>
        </r>
      </text>
    </comment>
    <comment ref="V33" authorId="0" shapeId="0" xr:uid="{00000000-0006-0000-0200-00004F000000}">
      <text>
        <r>
          <rPr>
            <b/>
            <sz val="8"/>
            <color indexed="81"/>
            <rFont val="Tahoma"/>
            <family val="2"/>
          </rPr>
          <t>Jesper Brahm:</t>
        </r>
        <r>
          <rPr>
            <sz val="8"/>
            <color indexed="81"/>
            <rFont val="Tahoma"/>
            <family val="2"/>
          </rPr>
          <t xml:space="preserve">
5*60*2.5/15=50 min, dvs. bedømmelse = 10 min
Sættes til 15 min
</t>
        </r>
      </text>
    </comment>
    <comment ref="T34" authorId="0" shapeId="0" xr:uid="{00000000-0006-0000-0200-000050000000}">
      <text>
        <r>
          <rPr>
            <b/>
            <sz val="9"/>
            <color indexed="81"/>
            <rFont val="Tahoma"/>
            <family val="2"/>
          </rPr>
          <t>Jesper Brahm:</t>
        </r>
        <r>
          <rPr>
            <sz val="9"/>
            <color indexed="81"/>
            <rFont val="Tahoma"/>
            <family val="2"/>
          </rPr>
          <t xml:space="preserve">
4.5 t cellebiol + excitable
0.5 t spot</t>
        </r>
      </text>
    </comment>
    <comment ref="U34" authorId="0" shapeId="0" xr:uid="{00000000-0006-0000-0200-000051000000}">
      <text>
        <r>
          <rPr>
            <b/>
            <sz val="9"/>
            <color indexed="81"/>
            <rFont val="Tahoma"/>
            <family val="2"/>
          </rPr>
          <t>Jesper Brahm:</t>
        </r>
        <r>
          <rPr>
            <sz val="9"/>
            <color indexed="81"/>
            <rFont val="Tahoma"/>
            <family val="2"/>
          </rPr>
          <t xml:space="preserve">
130 t integreret eksamen
50 t spot
180 i alt</t>
        </r>
      </text>
    </comment>
    <comment ref="V34" authorId="0" shapeId="0" xr:uid="{00000000-0006-0000-0200-000052000000}">
      <text>
        <r>
          <rPr>
            <b/>
            <sz val="9"/>
            <color indexed="81"/>
            <rFont val="Tahoma"/>
            <family val="2"/>
          </rPr>
          <t>Jesper Brahm:</t>
        </r>
        <r>
          <rPr>
            <sz val="9"/>
            <color indexed="81"/>
            <rFont val="Tahoma"/>
            <family val="2"/>
          </rPr>
          <t xml:space="preserve">
Inkluderer både skriftlig (45 min) og spot (30 min)</t>
        </r>
      </text>
    </comment>
    <comment ref="O36" authorId="0" shapeId="0" xr:uid="{00000000-0006-0000-0200-000053000000}">
      <text>
        <r>
          <rPr>
            <b/>
            <sz val="9"/>
            <color indexed="81"/>
            <rFont val="Tahoma"/>
            <family val="2"/>
          </rPr>
          <t>Jesper Brahm:</t>
        </r>
        <r>
          <rPr>
            <sz val="9"/>
            <color indexed="81"/>
            <rFont val="Tahoma"/>
            <family val="2"/>
          </rPr>
          <t xml:space="preserve">
Human Biology</t>
        </r>
      </text>
    </comment>
    <comment ref="S36" authorId="0" shapeId="0" xr:uid="{00000000-0006-0000-0200-000054000000}">
      <text>
        <r>
          <rPr>
            <b/>
            <sz val="9"/>
            <color indexed="81"/>
            <rFont val="Tahoma"/>
            <family val="2"/>
          </rPr>
          <t>Jesper Brahm:</t>
        </r>
        <r>
          <rPr>
            <sz val="9"/>
            <color indexed="81"/>
            <rFont val="Tahoma"/>
            <family val="2"/>
          </rPr>
          <t xml:space="preserve">
Intern</t>
        </r>
      </text>
    </comment>
    <comment ref="O37" authorId="0" shapeId="0" xr:uid="{00000000-0006-0000-0200-000055000000}">
      <text>
        <r>
          <rPr>
            <b/>
            <sz val="9"/>
            <color indexed="81"/>
            <rFont val="Tahoma"/>
            <family val="2"/>
          </rPr>
          <t>Jesper Brahm:</t>
        </r>
        <r>
          <rPr>
            <sz val="9"/>
            <color indexed="81"/>
            <rFont val="Tahoma"/>
            <family val="2"/>
          </rPr>
          <t xml:space="preserve">
Cellular Neuroscience</t>
        </r>
      </text>
    </comment>
    <comment ref="S37" authorId="0" shapeId="0" xr:uid="{00000000-0006-0000-0200-000056000000}">
      <text>
        <r>
          <rPr>
            <b/>
            <sz val="9"/>
            <color indexed="81"/>
            <rFont val="Tahoma"/>
            <family val="2"/>
          </rPr>
          <t>Jesper Brahm:</t>
        </r>
        <r>
          <rPr>
            <sz val="9"/>
            <color indexed="81"/>
            <rFont val="Tahoma"/>
            <family val="2"/>
          </rPr>
          <t xml:space="preserve">
Intern</t>
        </r>
      </text>
    </comment>
    <comment ref="O38" authorId="0" shapeId="0" xr:uid="{00000000-0006-0000-0200-000057000000}">
      <text>
        <r>
          <rPr>
            <b/>
            <sz val="9"/>
            <color indexed="81"/>
            <rFont val="Tahoma"/>
            <family val="2"/>
          </rPr>
          <t>Jesper Brahm:</t>
        </r>
        <r>
          <rPr>
            <sz val="9"/>
            <color indexed="81"/>
            <rFont val="Tahoma"/>
            <family val="2"/>
          </rPr>
          <t xml:space="preserve">
Human Physiology</t>
        </r>
      </text>
    </comment>
    <comment ref="S38" authorId="0" shapeId="0" xr:uid="{00000000-0006-0000-0200-000058000000}">
      <text>
        <r>
          <rPr>
            <b/>
            <sz val="9"/>
            <color indexed="81"/>
            <rFont val="Tahoma"/>
            <family val="2"/>
          </rPr>
          <t>Jesper Brahm:</t>
        </r>
        <r>
          <rPr>
            <sz val="9"/>
            <color indexed="81"/>
            <rFont val="Tahoma"/>
            <family val="2"/>
          </rPr>
          <t xml:space="preserve">
Intern
Skriftlig prøve, 4 timer med opsyn</t>
        </r>
      </text>
    </comment>
    <comment ref="V39" authorId="0" shapeId="0" xr:uid="{00000000-0006-0000-0200-000059000000}">
      <text>
        <r>
          <rPr>
            <b/>
            <sz val="9"/>
            <color indexed="81"/>
            <rFont val="Tahoma"/>
            <family val="2"/>
          </rPr>
          <t>Jesper Brahm:</t>
        </r>
        <r>
          <rPr>
            <sz val="9"/>
            <color indexed="81"/>
            <rFont val="Tahoma"/>
            <family val="2"/>
          </rPr>
          <t xml:space="preserve">
45 min mundtl.
45 min for &lt;30 sider</t>
        </r>
      </text>
    </comment>
    <comment ref="O40" authorId="0" shapeId="0" xr:uid="{00000000-0006-0000-0200-00005A000000}">
      <text>
        <r>
          <rPr>
            <b/>
            <sz val="9"/>
            <color indexed="81"/>
            <rFont val="Tahoma"/>
            <family val="2"/>
          </rPr>
          <t>Jesper Brahm:</t>
        </r>
        <r>
          <rPr>
            <sz val="9"/>
            <color indexed="81"/>
            <rFont val="Tahoma"/>
            <family val="2"/>
          </rPr>
          <t xml:space="preserve">
MSc Programme in Biotechnology
MSc Programme in Molecular Biomedicine</t>
        </r>
      </text>
    </comment>
    <comment ref="S40" authorId="0" shapeId="0" xr:uid="{00000000-0006-0000-0200-00005B000000}">
      <text>
        <r>
          <rPr>
            <b/>
            <sz val="9"/>
            <color indexed="81"/>
            <rFont val="Tahoma"/>
            <family val="2"/>
          </rPr>
          <t>Jesper Brahm:</t>
        </r>
        <r>
          <rPr>
            <sz val="9"/>
            <color indexed="81"/>
            <rFont val="Tahoma"/>
            <family val="2"/>
          </rPr>
          <t xml:space="preserve">
Written assignment, 2 weeks
Written assignment: Formulation of a research proposal designing and critically evaluating experiments aiming at answering a specific question related to gene therapy.</t>
        </r>
      </text>
    </comment>
    <comment ref="T40" authorId="0" shapeId="0" xr:uid="{00000000-0006-0000-0200-00005C000000}">
      <text>
        <r>
          <rPr>
            <b/>
            <sz val="9"/>
            <color indexed="81"/>
            <rFont val="Tahoma"/>
            <family val="2"/>
          </rPr>
          <t>Jesper Brahm:</t>
        </r>
        <r>
          <rPr>
            <sz val="9"/>
            <color indexed="81"/>
            <rFont val="Tahoma"/>
            <family val="2"/>
          </rPr>
          <t xml:space="preserve">
Estimeret længde
7-10 sider opgave</t>
        </r>
      </text>
    </comment>
    <comment ref="V40" authorId="0" shapeId="0" xr:uid="{00000000-0006-0000-0200-00005D000000}">
      <text>
        <r>
          <rPr>
            <b/>
            <sz val="9"/>
            <color indexed="81"/>
            <rFont val="Tahoma"/>
            <family val="2"/>
          </rPr>
          <t>Jesper Brahm:</t>
        </r>
        <r>
          <rPr>
            <sz val="9"/>
            <color indexed="81"/>
            <rFont val="Tahoma"/>
            <family val="2"/>
          </rPr>
          <t xml:space="preserve">
Estimeret længde
7-10 sider opgave</t>
        </r>
      </text>
    </comment>
    <comment ref="O41" authorId="0" shapeId="0" xr:uid="{00000000-0006-0000-0200-00005E000000}">
      <text>
        <r>
          <rPr>
            <b/>
            <sz val="9"/>
            <color indexed="81"/>
            <rFont val="Tahoma"/>
            <family val="2"/>
          </rPr>
          <t>Jesper Brahm:</t>
        </r>
        <r>
          <rPr>
            <sz val="9"/>
            <color indexed="81"/>
            <rFont val="Tahoma"/>
            <family val="2"/>
          </rPr>
          <t xml:space="preserve">
Computational Neuroscience</t>
        </r>
      </text>
    </comment>
    <comment ref="S41" authorId="0" shapeId="0" xr:uid="{00000000-0006-0000-0200-00005F000000}">
      <text>
        <r>
          <rPr>
            <b/>
            <sz val="9"/>
            <color indexed="81"/>
            <rFont val="Tahoma"/>
            <family val="2"/>
          </rPr>
          <t>Jesper Brahm:</t>
        </r>
        <r>
          <rPr>
            <sz val="9"/>
            <color indexed="81"/>
            <rFont val="Tahoma"/>
            <family val="2"/>
          </rPr>
          <t xml:space="preserve">
Oral examination, 20 minutes under invigilation
Presentation by student (10 minutes) followed by a discussion (10 minutes)
    Without preparation.</t>
        </r>
      </text>
    </comment>
    <comment ref="O42" authorId="0" shapeId="0" xr:uid="{00000000-0006-0000-0200-000060000000}">
      <text>
        <r>
          <rPr>
            <b/>
            <sz val="9"/>
            <color indexed="81"/>
            <rFont val="Tahoma"/>
            <family val="2"/>
          </rPr>
          <t>Jesper Brahm:</t>
        </r>
        <r>
          <rPr>
            <sz val="9"/>
            <color indexed="81"/>
            <rFont val="Tahoma"/>
            <family val="2"/>
          </rPr>
          <t xml:space="preserve">
MSc Programme in Molecular Biomedicine - compulsory.</t>
        </r>
      </text>
    </comment>
    <comment ref="S42" authorId="0" shapeId="0" xr:uid="{00000000-0006-0000-0200-000061000000}">
      <text>
        <r>
          <rPr>
            <b/>
            <sz val="9"/>
            <color indexed="81"/>
            <rFont val="Tahoma"/>
            <family val="2"/>
          </rPr>
          <t>Jesper Brahm:</t>
        </r>
        <r>
          <rPr>
            <sz val="9"/>
            <color indexed="81"/>
            <rFont val="Tahoma"/>
            <family val="2"/>
          </rPr>
          <t xml:space="preserve">
Written examination, 4 hours under invigilation</t>
        </r>
      </text>
    </comment>
    <comment ref="O43" authorId="0" shapeId="0" xr:uid="{00000000-0006-0000-0200-000062000000}">
      <text>
        <r>
          <rPr>
            <b/>
            <sz val="9"/>
            <color indexed="81"/>
            <rFont val="Tahoma"/>
            <family val="2"/>
          </rPr>
          <t>Jesper Brahm:</t>
        </r>
        <r>
          <rPr>
            <sz val="9"/>
            <color indexed="81"/>
            <rFont val="Tahoma"/>
            <family val="2"/>
          </rPr>
          <t xml:space="preserve">
MSc Programme in Biochemistry
MSc Programme in Bioinformatics
MSc Programme in Biology
MSc Programme in Biology with a minor subject
MSc Programme in Molecular Biomedicine</t>
        </r>
      </text>
    </comment>
    <comment ref="S43" authorId="0" shapeId="0" xr:uid="{00000000-0006-0000-0200-000063000000}">
      <text>
        <r>
          <rPr>
            <b/>
            <sz val="9"/>
            <color indexed="81"/>
            <rFont val="Tahoma"/>
            <family val="2"/>
          </rPr>
          <t>Jesper Brahm:</t>
        </r>
        <r>
          <rPr>
            <sz val="9"/>
            <color indexed="81"/>
            <rFont val="Tahoma"/>
            <family val="2"/>
          </rPr>
          <t xml:space="preserve">
Written assignment
Oral examination, 30 min.
Each student is required to write an essay in collaboration with 2 other students. All the essays will be collected in a compendium.</t>
        </r>
      </text>
    </comment>
    <comment ref="O44" authorId="0" shapeId="0" xr:uid="{00000000-0006-0000-0200-000064000000}">
      <text>
        <r>
          <rPr>
            <b/>
            <sz val="9"/>
            <color indexed="81"/>
            <rFont val="Tahoma"/>
            <family val="2"/>
          </rPr>
          <t>Jesper Brahm:</t>
        </r>
        <r>
          <rPr>
            <sz val="9"/>
            <color indexed="81"/>
            <rFont val="Tahoma"/>
            <family val="2"/>
          </rPr>
          <t xml:space="preserve">
Chronic Inflammation. From Basic Research to Therapy
MSc Programme in Biochemistry
MSc Programme in Molecular Biomedicine</t>
        </r>
      </text>
    </comment>
    <comment ref="S44" authorId="0" shapeId="0" xr:uid="{00000000-0006-0000-0200-000065000000}">
      <text>
        <r>
          <rPr>
            <b/>
            <sz val="9"/>
            <color indexed="81"/>
            <rFont val="Tahoma"/>
            <family val="2"/>
          </rPr>
          <t>Jesper Brahm:</t>
        </r>
        <r>
          <rPr>
            <sz val="9"/>
            <color indexed="81"/>
            <rFont val="Tahoma"/>
            <family val="2"/>
          </rPr>
          <t xml:space="preserve">
Intern bedømmelse
Hjemmeopgave
48 timer</t>
        </r>
      </text>
    </comment>
    <comment ref="V44" authorId="0" shapeId="0" xr:uid="{00000000-0006-0000-0200-000066000000}">
      <text>
        <r>
          <rPr>
            <b/>
            <sz val="9"/>
            <color indexed="81"/>
            <rFont val="Tahoma"/>
            <family val="2"/>
          </rPr>
          <t>Jesper Brahm:</t>
        </r>
        <r>
          <rPr>
            <sz val="9"/>
            <color indexed="81"/>
            <rFont val="Tahoma"/>
            <family val="2"/>
          </rPr>
          <t xml:space="preserve">
estimeret sidetal: 16-20</t>
        </r>
      </text>
    </comment>
    <comment ref="O45" authorId="0" shapeId="0" xr:uid="{00000000-0006-0000-0200-000067000000}">
      <text>
        <r>
          <rPr>
            <b/>
            <sz val="9"/>
            <color indexed="81"/>
            <rFont val="Tahoma"/>
            <family val="2"/>
          </rPr>
          <t>Jesper Brahm:</t>
        </r>
        <r>
          <rPr>
            <sz val="9"/>
            <color indexed="81"/>
            <rFont val="Tahoma"/>
            <family val="2"/>
          </rPr>
          <t xml:space="preserve">
Translational Pharmacology - From Concept to Medical Drug and from Concept to Biotech Company</t>
        </r>
      </text>
    </comment>
    <comment ref="O46" authorId="0" shapeId="0" xr:uid="{00000000-0006-0000-0200-000068000000}">
      <text>
        <r>
          <rPr>
            <b/>
            <sz val="9"/>
            <color indexed="81"/>
            <rFont val="Tahoma"/>
            <family val="2"/>
          </rPr>
          <t>Jesper Brahm:</t>
        </r>
        <r>
          <rPr>
            <sz val="9"/>
            <color indexed="81"/>
            <rFont val="Tahoma"/>
            <family val="2"/>
          </rPr>
          <t xml:space="preserve">
Implementering af forskningsbaseret viden om neurorehabilitering - organisation og forandring</t>
        </r>
      </text>
    </comment>
    <comment ref="S46" authorId="0" shapeId="0" xr:uid="{00000000-0006-0000-0200-000069000000}">
      <text>
        <r>
          <rPr>
            <b/>
            <sz val="9"/>
            <color indexed="81"/>
            <rFont val="Tahoma"/>
            <family val="2"/>
          </rPr>
          <t>Jesper Brahm:</t>
        </r>
        <r>
          <rPr>
            <sz val="9"/>
            <color indexed="81"/>
            <rFont val="Tahoma"/>
            <family val="2"/>
          </rPr>
          <t xml:space="preserve">
Gruppeeksamen</t>
        </r>
      </text>
    </comment>
    <comment ref="O48" authorId="0" shapeId="0" xr:uid="{00000000-0006-0000-0200-00006A000000}">
      <text>
        <r>
          <rPr>
            <b/>
            <sz val="9"/>
            <color indexed="81"/>
            <rFont val="Tahoma"/>
            <family val="2"/>
          </rPr>
          <t>Jesper Brahm:</t>
        </r>
        <r>
          <rPr>
            <sz val="9"/>
            <color indexed="81"/>
            <rFont val="Tahoma"/>
            <family val="2"/>
          </rPr>
          <t xml:space="preserve">
Metoder, teori, forskning og neurorehabilitering</t>
        </r>
      </text>
    </comment>
    <comment ref="S48" authorId="0" shapeId="0" xr:uid="{00000000-0006-0000-0200-00006B000000}">
      <text>
        <r>
          <rPr>
            <b/>
            <sz val="9"/>
            <color indexed="81"/>
            <rFont val="Tahoma"/>
            <family val="2"/>
          </rPr>
          <t>Jesper Brahm:</t>
        </r>
        <r>
          <rPr>
            <sz val="9"/>
            <color indexed="81"/>
            <rFont val="Tahoma"/>
            <family val="2"/>
          </rPr>
          <t xml:space="preserve">
Skriftlig aflevering, 72 timer</t>
        </r>
      </text>
    </comment>
    <comment ref="O49" authorId="0" shapeId="0" xr:uid="{00000000-0006-0000-0200-00006C000000}">
      <text>
        <r>
          <rPr>
            <b/>
            <sz val="9"/>
            <color indexed="81"/>
            <rFont val="Tahoma"/>
            <family val="2"/>
          </rPr>
          <t>Jesper Brahm:</t>
        </r>
        <r>
          <rPr>
            <sz val="9"/>
            <color indexed="81"/>
            <rFont val="Tahoma"/>
            <family val="2"/>
          </rPr>
          <t xml:space="preserve">
MSc in Neuroscience - Compulsory course</t>
        </r>
      </text>
    </comment>
    <comment ref="S49" authorId="0" shapeId="0" xr:uid="{00000000-0006-0000-0200-00006D000000}">
      <text>
        <r>
          <rPr>
            <b/>
            <sz val="9"/>
            <color indexed="81"/>
            <rFont val="Tahoma"/>
            <family val="2"/>
          </rPr>
          <t>Jesper Brahm:</t>
        </r>
        <r>
          <rPr>
            <sz val="9"/>
            <color indexed="81"/>
            <rFont val="Tahoma"/>
            <family val="2"/>
          </rPr>
          <t xml:space="preserve">
Written examination, 3 hours under invigilation
Short questions</t>
        </r>
      </text>
    </comment>
    <comment ref="O50" authorId="0" shapeId="0" xr:uid="{00000000-0006-0000-0200-00006E000000}">
      <text>
        <r>
          <rPr>
            <b/>
            <sz val="9"/>
            <color indexed="81"/>
            <rFont val="Tahoma"/>
            <family val="2"/>
          </rPr>
          <t>Jesper Brahm:</t>
        </r>
        <r>
          <rPr>
            <sz val="9"/>
            <color indexed="81"/>
            <rFont val="Tahoma"/>
            <family val="2"/>
          </rPr>
          <t xml:space="preserve">
MSc in Neuroscience - compulsory</t>
        </r>
      </text>
    </comment>
    <comment ref="S50" authorId="0" shapeId="0" xr:uid="{00000000-0006-0000-0200-00006F000000}">
      <text>
        <r>
          <rPr>
            <b/>
            <sz val="9"/>
            <color indexed="81"/>
            <rFont val="Tahoma"/>
            <family val="2"/>
          </rPr>
          <t>Jesper Brahm:</t>
        </r>
        <r>
          <rPr>
            <sz val="9"/>
            <color indexed="81"/>
            <rFont val="Tahoma"/>
            <family val="2"/>
          </rPr>
          <t xml:space="preserve">
Written examination, 1 hour under invigilation
Short essay questions (half to one page), Multiple Choice and Short Questions.
Passed/not passed</t>
        </r>
      </text>
    </comment>
    <comment ref="O51" authorId="0" shapeId="0" xr:uid="{00000000-0006-0000-0200-000070000000}">
      <text>
        <r>
          <rPr>
            <b/>
            <sz val="9"/>
            <color indexed="81"/>
            <rFont val="Tahoma"/>
            <family val="2"/>
          </rPr>
          <t>Jesper Brahm:</t>
        </r>
        <r>
          <rPr>
            <sz val="9"/>
            <color indexed="81"/>
            <rFont val="Tahoma"/>
            <family val="2"/>
          </rPr>
          <t xml:space="preserve">
MSc in Neuroscience - compulsory</t>
        </r>
      </text>
    </comment>
    <comment ref="S51" authorId="0" shapeId="0" xr:uid="{00000000-0006-0000-0200-000071000000}">
      <text>
        <r>
          <rPr>
            <b/>
            <sz val="9"/>
            <color indexed="81"/>
            <rFont val="Tahoma"/>
            <family val="2"/>
          </rPr>
          <t>Jesper Brahm:</t>
        </r>
        <r>
          <rPr>
            <sz val="9"/>
            <color indexed="81"/>
            <rFont val="Tahoma"/>
            <family val="2"/>
          </rPr>
          <t xml:space="preserve">
Written examination, 2 hours under invigilation
Essay questions and short true/false questions.
7-point grading scale</t>
        </r>
      </text>
    </comment>
    <comment ref="O52" authorId="0" shapeId="0" xr:uid="{00000000-0006-0000-0200-000072000000}">
      <text>
        <r>
          <rPr>
            <b/>
            <sz val="9"/>
            <color indexed="81"/>
            <rFont val="Tahoma"/>
            <family val="2"/>
          </rPr>
          <t>Jesper Brahm:</t>
        </r>
        <r>
          <rPr>
            <sz val="9"/>
            <color indexed="81"/>
            <rFont val="Tahoma"/>
            <family val="2"/>
          </rPr>
          <t xml:space="preserve">
MSc in Neuroscience - compulsory course</t>
        </r>
      </text>
    </comment>
    <comment ref="S52" authorId="0" shapeId="0" xr:uid="{00000000-0006-0000-0200-000073000000}">
      <text>
        <r>
          <rPr>
            <b/>
            <sz val="9"/>
            <color indexed="81"/>
            <rFont val="Tahoma"/>
            <family val="2"/>
          </rPr>
          <t>Jesper Brahm:</t>
        </r>
        <r>
          <rPr>
            <sz val="9"/>
            <color indexed="81"/>
            <rFont val="Tahoma"/>
            <family val="2"/>
          </rPr>
          <t xml:space="preserve">
Written assignment, 1 week
Students will be given a written home assignment in context of a Thematic report (Mini-review) up to 15 pages long (max), including figures and references.
No supervision.
5 days preparation, but the report can be written at other times (see details)</t>
        </r>
      </text>
    </comment>
    <comment ref="O53" authorId="0" shapeId="0" xr:uid="{00000000-0006-0000-0200-000074000000}">
      <text>
        <r>
          <rPr>
            <b/>
            <sz val="9"/>
            <color indexed="81"/>
            <rFont val="Tahoma"/>
            <family val="2"/>
          </rPr>
          <t>Jesper Brahm:</t>
        </r>
        <r>
          <rPr>
            <sz val="9"/>
            <color indexed="81"/>
            <rFont val="Tahoma"/>
            <family val="2"/>
          </rPr>
          <t xml:space="preserve">
MSc in Neuroscience - compulsory course</t>
        </r>
      </text>
    </comment>
    <comment ref="S53" authorId="0" shapeId="0" xr:uid="{00000000-0006-0000-0200-000075000000}">
      <text>
        <r>
          <rPr>
            <b/>
            <sz val="9"/>
            <color indexed="81"/>
            <rFont val="Tahoma"/>
            <family val="2"/>
          </rPr>
          <t>Jesper Brahm:</t>
        </r>
        <r>
          <rPr>
            <sz val="9"/>
            <color indexed="81"/>
            <rFont val="Tahoma"/>
            <family val="2"/>
          </rPr>
          <t xml:space="preserve">
Oral examination, 30 minutes under invigilation
Including 25 minutes preparation including literature, notes and other material.
The exam will be based on one major and one minor question (weighed about 2:1). It is expected that the student will deal with both questions.</t>
        </r>
      </text>
    </comment>
    <comment ref="O54" authorId="0" shapeId="0" xr:uid="{00000000-0006-0000-0200-000076000000}">
      <text>
        <r>
          <rPr>
            <b/>
            <sz val="9"/>
            <color indexed="81"/>
            <rFont val="Tahoma"/>
            <family val="2"/>
          </rPr>
          <t>Jesper Brahm:</t>
        </r>
        <r>
          <rPr>
            <sz val="9"/>
            <color indexed="81"/>
            <rFont val="Tahoma"/>
            <family val="2"/>
          </rPr>
          <t xml:space="preserve">
Drug discovery and development in Neuroscience</t>
        </r>
      </text>
    </comment>
    <comment ref="S54" authorId="0" shapeId="0" xr:uid="{00000000-0006-0000-0200-000077000000}">
      <text>
        <r>
          <rPr>
            <b/>
            <sz val="9"/>
            <color indexed="81"/>
            <rFont val="Tahoma"/>
            <family val="2"/>
          </rPr>
          <t>Jesper Brahm:</t>
        </r>
        <r>
          <rPr>
            <sz val="9"/>
            <color indexed="81"/>
            <rFont val="Tahoma"/>
            <family val="2"/>
          </rPr>
          <t xml:space="preserve">
Oral examination, 20 minutes under invigilation
Presentation by student (10 minutes) followed by a discussion (10 minutes)
Without preparation.</t>
        </r>
      </text>
    </comment>
    <comment ref="O55" authorId="0" shapeId="0" xr:uid="{00000000-0006-0000-0200-000078000000}">
      <text>
        <r>
          <rPr>
            <b/>
            <sz val="9"/>
            <color indexed="81"/>
            <rFont val="Tahoma"/>
            <family val="2"/>
          </rPr>
          <t>Jesper Brahm:</t>
        </r>
        <r>
          <rPr>
            <sz val="9"/>
            <color indexed="81"/>
            <rFont val="Tahoma"/>
            <family val="2"/>
          </rPr>
          <t xml:space="preserve">
MSc in Neuroscience - Elective course</t>
        </r>
      </text>
    </comment>
    <comment ref="S55" authorId="0" shapeId="0" xr:uid="{00000000-0006-0000-0200-000079000000}">
      <text>
        <r>
          <rPr>
            <b/>
            <sz val="9"/>
            <color indexed="81"/>
            <rFont val="Tahoma"/>
            <family val="2"/>
          </rPr>
          <t>Jesper Brahm:</t>
        </r>
        <r>
          <rPr>
            <sz val="9"/>
            <color indexed="81"/>
            <rFont val="Tahoma"/>
            <family val="2"/>
          </rPr>
          <t xml:space="preserve">
Oral examination, 20 minutes under invigilation
Presentation by student (10 minutes) followed by a discussion (10 minutes)
Without preparation.</t>
        </r>
      </text>
    </comment>
    <comment ref="O56" authorId="0" shapeId="0" xr:uid="{00000000-0006-0000-0200-00007A000000}">
      <text>
        <r>
          <rPr>
            <b/>
            <sz val="9"/>
            <color indexed="81"/>
            <rFont val="Tahoma"/>
            <family val="2"/>
          </rPr>
          <t>Jesper Brahm:</t>
        </r>
        <r>
          <rPr>
            <sz val="9"/>
            <color indexed="81"/>
            <rFont val="Tahoma"/>
            <family val="2"/>
          </rPr>
          <t xml:space="preserve">
Novel technologies and laboratory animals in behavioral neuroscience</t>
        </r>
      </text>
    </comment>
    <comment ref="S56" authorId="0" shapeId="0" xr:uid="{00000000-0006-0000-0200-00007B000000}">
      <text>
        <r>
          <rPr>
            <b/>
            <sz val="9"/>
            <color indexed="81"/>
            <rFont val="Tahoma"/>
            <family val="2"/>
          </rPr>
          <t>Jesper Brahm:</t>
        </r>
        <r>
          <rPr>
            <sz val="9"/>
            <color indexed="81"/>
            <rFont val="Tahoma"/>
            <family val="2"/>
          </rPr>
          <t xml:space="preserve">
Course participation
Oral examination, 15 minutes under invigilation
Course participation: Full and satisfactory participation at practical exercises. Demonstration of performance for an instructor during the exercises.</t>
        </r>
      </text>
    </comment>
    <comment ref="O57" authorId="0" shapeId="0" xr:uid="{00000000-0006-0000-0200-00007C000000}">
      <text>
        <r>
          <rPr>
            <b/>
            <sz val="9"/>
            <color indexed="81"/>
            <rFont val="Tahoma"/>
            <family val="2"/>
          </rPr>
          <t>Jesper Brahm:</t>
        </r>
        <r>
          <rPr>
            <sz val="9"/>
            <color indexed="81"/>
            <rFont val="Tahoma"/>
            <family val="2"/>
          </rPr>
          <t xml:space="preserve">
MSc in Neuroscience - compulsory</t>
        </r>
      </text>
    </comment>
    <comment ref="S57" authorId="0" shapeId="0" xr:uid="{00000000-0006-0000-0200-00007D000000}">
      <text>
        <r>
          <rPr>
            <b/>
            <sz val="9"/>
            <color indexed="81"/>
            <rFont val="Tahoma"/>
            <family val="2"/>
          </rPr>
          <t>Jesper Brahm:</t>
        </r>
        <r>
          <rPr>
            <sz val="9"/>
            <color indexed="81"/>
            <rFont val="Tahoma"/>
            <family val="2"/>
          </rPr>
          <t xml:space="preserve">
Written assignment
Oral defence, 60 minutes under invigilation
The master’s thesis must be prepared in accordance with the approved thesis contract and shall correspond to minimum 50 and maximum 70 pages written in Times New Roman point 12, line spacing 1.5 and excluding references and optional appendixes.
</t>
        </r>
      </text>
    </comment>
    <comment ref="V57" authorId="0" shapeId="0" xr:uid="{00000000-0006-0000-0200-00007E000000}">
      <text>
        <r>
          <rPr>
            <b/>
            <sz val="9"/>
            <color indexed="81"/>
            <rFont val="Tahoma"/>
            <family val="2"/>
          </rPr>
          <t>Jesper Brahm:</t>
        </r>
        <r>
          <rPr>
            <sz val="9"/>
            <color indexed="81"/>
            <rFont val="Tahoma"/>
            <family val="2"/>
          </rPr>
          <t xml:space="preserve">
60 min examination
180 min thesis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Jesper Brahm</author>
  </authors>
  <commentList>
    <comment ref="I1" authorId="0" shapeId="0" xr:uid="{00000000-0006-0000-0300-000001000000}">
      <text>
        <r>
          <rPr>
            <b/>
            <sz val="8"/>
            <color indexed="81"/>
            <rFont val="Tahoma"/>
            <family val="2"/>
          </rPr>
          <t>Jesper Brahm:</t>
        </r>
        <r>
          <rPr>
            <sz val="8"/>
            <color indexed="81"/>
            <rFont val="Tahoma"/>
            <family val="2"/>
          </rPr>
          <t xml:space="preserve">
The percentage you mark of the individual exam set</t>
        </r>
      </text>
    </comment>
    <comment ref="J1" authorId="0" shapeId="0" xr:uid="{00000000-0006-0000-0300-000002000000}">
      <text>
        <r>
          <rPr>
            <b/>
            <sz val="9"/>
            <color indexed="81"/>
            <rFont val="Tahoma"/>
            <family val="2"/>
          </rPr>
          <t>Jesper Brahm:</t>
        </r>
        <r>
          <rPr>
            <sz val="9"/>
            <color indexed="81"/>
            <rFont val="Tahoma"/>
            <family val="2"/>
          </rPr>
          <t xml:space="preserve">
Varighed af eksamen</t>
        </r>
      </text>
    </comment>
    <comment ref="K1" authorId="0" shapeId="0" xr:uid="{00000000-0006-0000-0300-000003000000}">
      <text>
        <r>
          <rPr>
            <b/>
            <sz val="9"/>
            <color indexed="81"/>
            <rFont val="Tahoma"/>
            <family val="2"/>
          </rPr>
          <t>Jesper Brahm:</t>
        </r>
        <r>
          <rPr>
            <sz val="9"/>
            <color indexed="81"/>
            <rFont val="Tahoma"/>
            <family val="2"/>
          </rPr>
          <t xml:space="preserve">
UR-hour/exercise (written)
or
UR-hour/student (oral)</t>
        </r>
      </text>
    </comment>
    <comment ref="S1" authorId="0" shapeId="0" xr:uid="{00000000-0006-0000-0300-000004000000}">
      <text>
        <r>
          <rPr>
            <b/>
            <sz val="9"/>
            <color indexed="81"/>
            <rFont val="Tahoma"/>
            <family val="2"/>
          </rPr>
          <t>Jesper Brahm:</t>
        </r>
        <r>
          <rPr>
            <sz val="9"/>
            <color indexed="81"/>
            <rFont val="Tahoma"/>
            <family val="2"/>
          </rPr>
          <t xml:space="preserve">
Type og timer</t>
        </r>
      </text>
    </comment>
    <comment ref="U1" authorId="0" shapeId="0" xr:uid="{00000000-0006-0000-0300-000005000000}">
      <text>
        <r>
          <rPr>
            <b/>
            <sz val="9"/>
            <color indexed="81"/>
            <rFont val="Tahoma"/>
            <family val="2"/>
          </rPr>
          <t>Jesper Brahm:</t>
        </r>
        <r>
          <rPr>
            <sz val="9"/>
            <color indexed="81"/>
            <rFont val="Tahoma"/>
            <family val="2"/>
          </rPr>
          <t xml:space="preserve">
Timer</t>
        </r>
      </text>
    </comment>
    <comment ref="V1" authorId="0" shapeId="0" xr:uid="{00000000-0006-0000-0300-000006000000}">
      <text>
        <r>
          <rPr>
            <b/>
            <sz val="9"/>
            <color indexed="81"/>
            <rFont val="Tahoma"/>
            <family val="2"/>
          </rPr>
          <t>Jesper Brahm:</t>
        </r>
        <r>
          <rPr>
            <sz val="9"/>
            <color indexed="81"/>
            <rFont val="Tahoma"/>
            <family val="2"/>
          </rPr>
          <t xml:space="preserve">
Minutter og UR pr. sæt/eksamination
</t>
        </r>
      </text>
    </comment>
    <comment ref="O2" authorId="0" shapeId="0" xr:uid="{00000000-0006-0000-0300-000007000000}">
      <text>
        <r>
          <rPr>
            <b/>
            <sz val="9"/>
            <color indexed="81"/>
            <rFont val="Tahoma"/>
            <family val="2"/>
          </rPr>
          <t>Jesper Brahm:</t>
        </r>
        <r>
          <rPr>
            <sz val="9"/>
            <color indexed="81"/>
            <rFont val="Tahoma"/>
            <family val="2"/>
          </rPr>
          <t xml:space="preserve">
Course in cell and tissue biology</t>
        </r>
      </text>
    </comment>
    <comment ref="O3" authorId="0" shapeId="0" xr:uid="{00000000-0006-0000-0300-000008000000}">
      <text>
        <r>
          <rPr>
            <b/>
            <sz val="9"/>
            <color indexed="81"/>
            <rFont val="Tahoma"/>
            <family val="2"/>
          </rPr>
          <t>Jesper Brahm:</t>
        </r>
        <r>
          <rPr>
            <sz val="9"/>
            <color indexed="81"/>
            <rFont val="Tahoma"/>
            <family val="2"/>
          </rPr>
          <t xml:space="preserve">
Course in Cell and Tissue Biology, Quantitative Biology and Disease Modelling</t>
        </r>
      </text>
    </comment>
    <comment ref="S3" authorId="0" shapeId="0" xr:uid="{00000000-0006-0000-0300-000009000000}">
      <text>
        <r>
          <rPr>
            <b/>
            <sz val="9"/>
            <color indexed="81"/>
            <rFont val="Tahoma"/>
            <family val="2"/>
          </rPr>
          <t>Jesper Brahm:</t>
        </r>
        <r>
          <rPr>
            <sz val="9"/>
            <color indexed="81"/>
            <rFont val="Tahoma"/>
            <family val="2"/>
          </rPr>
          <t xml:space="preserve">
Skriftlig aflevering
Aflevering af øvelsesrapporter</t>
        </r>
      </text>
    </comment>
    <comment ref="O4" authorId="0" shapeId="0" xr:uid="{00000000-0006-0000-0300-00000A000000}">
      <text>
        <r>
          <rPr>
            <b/>
            <sz val="9"/>
            <color indexed="81"/>
            <rFont val="Tahoma"/>
            <family val="2"/>
          </rPr>
          <t>Jesper Brahm:</t>
        </r>
        <r>
          <rPr>
            <sz val="9"/>
            <color indexed="81"/>
            <rFont val="Tahoma"/>
            <family val="2"/>
          </rPr>
          <t xml:space="preserve">
Human Biology, Medicine and Technology</t>
        </r>
      </text>
    </comment>
    <comment ref="S4" authorId="0" shapeId="0" xr:uid="{00000000-0006-0000-0300-00000B000000}">
      <text>
        <r>
          <rPr>
            <b/>
            <sz val="9"/>
            <color indexed="81"/>
            <rFont val="Tahoma"/>
            <family val="2"/>
          </rPr>
          <t>Jesper Brahm:</t>
        </r>
        <r>
          <rPr>
            <sz val="9"/>
            <color indexed="81"/>
            <rFont val="Tahoma"/>
            <family val="2"/>
          </rPr>
          <t xml:space="preserve">
Skriftlig prøve, 2 timer med opsyn.</t>
        </r>
      </text>
    </comment>
    <comment ref="O5" authorId="0" shapeId="0" xr:uid="{00000000-0006-0000-0300-00000C000000}">
      <text>
        <r>
          <rPr>
            <b/>
            <sz val="9"/>
            <color indexed="81"/>
            <rFont val="Tahoma"/>
            <family val="2"/>
          </rPr>
          <t>Jesper Brahm:</t>
        </r>
        <r>
          <rPr>
            <sz val="9"/>
            <color indexed="81"/>
            <rFont val="Tahoma"/>
            <family val="2"/>
          </rPr>
          <t xml:space="preserve">
Human Diseases for Non-Clinicians, Medicine and Technology</t>
        </r>
      </text>
    </comment>
    <comment ref="S5" authorId="0" shapeId="0" xr:uid="{00000000-0006-0000-0300-00000D000000}">
      <text>
        <r>
          <rPr>
            <b/>
            <sz val="9"/>
            <color indexed="81"/>
            <rFont val="Tahoma"/>
            <family val="2"/>
          </rPr>
          <t>Jesper Brahm:</t>
        </r>
        <r>
          <rPr>
            <sz val="9"/>
            <color indexed="81"/>
            <rFont val="Tahoma"/>
            <family val="2"/>
          </rPr>
          <t xml:space="preserve">
Skriftlig prøve, 3 timer med opsyn.</t>
        </r>
      </text>
    </comment>
    <comment ref="O6" authorId="0" shapeId="0" xr:uid="{00000000-0006-0000-0300-00000E000000}">
      <text>
        <r>
          <rPr>
            <b/>
            <sz val="9"/>
            <color indexed="81"/>
            <rFont val="Tahoma"/>
            <family val="2"/>
          </rPr>
          <t>Jesper Brahm:</t>
        </r>
        <r>
          <rPr>
            <sz val="9"/>
            <color indexed="81"/>
            <rFont val="Tahoma"/>
            <family val="2"/>
          </rPr>
          <t xml:space="preserve">
Bachelor's Thesis, Medicine and Technology, 15 ECTS-credits</t>
        </r>
      </text>
    </comment>
    <comment ref="S6" authorId="0" shapeId="0" xr:uid="{00000000-0006-0000-0300-00000F000000}">
      <text>
        <r>
          <rPr>
            <b/>
            <sz val="9"/>
            <color indexed="81"/>
            <rFont val="Tahoma"/>
            <family val="2"/>
          </rPr>
          <t>Jesper Brahm:</t>
        </r>
        <r>
          <rPr>
            <sz val="9"/>
            <color indexed="81"/>
            <rFont val="Tahoma"/>
            <family val="2"/>
          </rPr>
          <t xml:space="preserve">
Skriftlig aflevering, -
Mundtligt forsvar, 30 min.
Projektet skal udstyres med et resumé på engelsk på højst en normalside med maks. 2400 anslag. Resuméet skal sammenfatte problemstilling, anvendt metode, væsentlige resultater, evt. diskussion og konklusionen.
Projektarbejdet gennemføres under vejledning og skrives individuelt eller i grupper på maksimalt to personer </t>
        </r>
      </text>
    </comment>
    <comment ref="V6" authorId="0" shapeId="0" xr:uid="{00000000-0006-0000-0300-000010000000}">
      <text>
        <r>
          <rPr>
            <b/>
            <sz val="9"/>
            <color indexed="81"/>
            <rFont val="Tahoma"/>
            <family val="2"/>
          </rPr>
          <t>Jesper Brahm:</t>
        </r>
        <r>
          <rPr>
            <sz val="9"/>
            <color indexed="81"/>
            <rFont val="Tahoma"/>
            <family val="2"/>
          </rPr>
          <t xml:space="preserve">
Inkluderet i vejledernormen</t>
        </r>
      </text>
    </comment>
    <comment ref="O7" authorId="0" shapeId="0" xr:uid="{00000000-0006-0000-0300-000011000000}">
      <text>
        <r>
          <rPr>
            <b/>
            <sz val="9"/>
            <color indexed="81"/>
            <rFont val="Tahoma"/>
            <family val="2"/>
          </rPr>
          <t>Jesper Brahm:</t>
        </r>
        <r>
          <rPr>
            <sz val="9"/>
            <color indexed="81"/>
            <rFont val="Tahoma"/>
            <family val="2"/>
          </rPr>
          <t xml:space="preserve">
Bachelor's Thesis, Medicine and Technology, 17,5 ECTS-credits</t>
        </r>
      </text>
    </comment>
    <comment ref="S7" authorId="0" shapeId="0" xr:uid="{00000000-0006-0000-0300-000012000000}">
      <text>
        <r>
          <rPr>
            <b/>
            <sz val="9"/>
            <color indexed="81"/>
            <rFont val="Tahoma"/>
            <family val="2"/>
          </rPr>
          <t>Jesper Brahm:</t>
        </r>
        <r>
          <rPr>
            <sz val="9"/>
            <color indexed="81"/>
            <rFont val="Tahoma"/>
            <family val="2"/>
          </rPr>
          <t xml:space="preserve">
Skriftlig aflevering, -
Mundtligt forsvar, 30 min.
Projektet skal udstyres med et resumé på engelsk på højst en normalside med maks. 2400 anslag. Resuméet skal sammenfatte problemstilling, anvendt metode, væsentlige resultater, evt. diskussion og konklusionen.
Projektarbejdet gennemføres under vejledning og skrives individuelt eller i grupper på maksimalt to personer </t>
        </r>
      </text>
    </comment>
    <comment ref="V7" authorId="0" shapeId="0" xr:uid="{00000000-0006-0000-0300-000013000000}">
      <text>
        <r>
          <rPr>
            <b/>
            <sz val="9"/>
            <color indexed="81"/>
            <rFont val="Tahoma"/>
            <family val="2"/>
          </rPr>
          <t>Jesper Brahm:</t>
        </r>
        <r>
          <rPr>
            <sz val="9"/>
            <color indexed="81"/>
            <rFont val="Tahoma"/>
            <family val="2"/>
          </rPr>
          <t xml:space="preserve">
Inkluderet i vejledernormen</t>
        </r>
      </text>
    </comment>
    <comment ref="O8" authorId="0" shapeId="0" xr:uid="{00000000-0006-0000-0300-000014000000}">
      <text>
        <r>
          <rPr>
            <b/>
            <sz val="9"/>
            <color indexed="81"/>
            <rFont val="Tahoma"/>
            <family val="2"/>
          </rPr>
          <t>Jesper Brahm:</t>
        </r>
        <r>
          <rPr>
            <sz val="9"/>
            <color indexed="81"/>
            <rFont val="Tahoma"/>
            <family val="2"/>
          </rPr>
          <t xml:space="preserve">
Bachelor's Thesis, Quantitative Biology and Disease Modelling, 20 ECTS-credits</t>
        </r>
      </text>
    </comment>
    <comment ref="S8" authorId="0" shapeId="0" xr:uid="{00000000-0006-0000-0300-000015000000}">
      <text>
        <r>
          <rPr>
            <b/>
            <sz val="9"/>
            <color indexed="81"/>
            <rFont val="Tahoma"/>
            <family val="2"/>
          </rPr>
          <t>Jesper Brahm:</t>
        </r>
        <r>
          <rPr>
            <sz val="9"/>
            <color indexed="81"/>
            <rFont val="Tahoma"/>
            <family val="2"/>
          </rPr>
          <t xml:space="preserve">
Skriftlig aflevering, -
Mundtligt forsvar, 30 min.
Projektet skal udstyres med et resumé på engelsk på højst en normalside med maks. 2400 anslag. Resuméet skal sammenfatte problemstilling, anvendt metode, væsentlige resultater, evt. diskussion og konklusionen.
Projektarbejdet gennemføres under vejledning og skrives individuelt eller i grupper på maksimalt to personer </t>
        </r>
      </text>
    </comment>
    <comment ref="V8" authorId="0" shapeId="0" xr:uid="{00000000-0006-0000-0300-000016000000}">
      <text>
        <r>
          <rPr>
            <b/>
            <sz val="9"/>
            <color indexed="81"/>
            <rFont val="Tahoma"/>
            <family val="2"/>
          </rPr>
          <t>Jesper Brahm:</t>
        </r>
        <r>
          <rPr>
            <sz val="9"/>
            <color indexed="81"/>
            <rFont val="Tahoma"/>
            <family val="2"/>
          </rPr>
          <t xml:space="preserve">
Inkluderet i vejledernormen</t>
        </r>
      </text>
    </comment>
    <comment ref="O9" authorId="0" shapeId="0" xr:uid="{00000000-0006-0000-0300-000017000000}">
      <text>
        <r>
          <rPr>
            <b/>
            <sz val="9"/>
            <color indexed="81"/>
            <rFont val="Tahoma"/>
            <family val="2"/>
          </rPr>
          <t>Jesper Brahm:</t>
        </r>
        <r>
          <rPr>
            <sz val="9"/>
            <color indexed="81"/>
            <rFont val="Tahoma"/>
            <family val="2"/>
          </rPr>
          <t xml:space="preserve">
Bachelor's Thesis, Quantitative Biology and Disease Modelling, 15 ECTS-credits</t>
        </r>
      </text>
    </comment>
    <comment ref="S9" authorId="0" shapeId="0" xr:uid="{00000000-0006-0000-0300-000018000000}">
      <text>
        <r>
          <rPr>
            <b/>
            <sz val="9"/>
            <color indexed="81"/>
            <rFont val="Tahoma"/>
            <family val="2"/>
          </rPr>
          <t>Jesper Brahm:</t>
        </r>
        <r>
          <rPr>
            <sz val="9"/>
            <color indexed="81"/>
            <rFont val="Tahoma"/>
            <family val="2"/>
          </rPr>
          <t xml:space="preserve">
Skriftlig aflevering, -
Mundtligt forsvar, 30 min.
Projektet skal udstyres med et resumé på engelsk på højst en normalside med maks. 2400 anslag. Resuméet skal sammenfatte problemstilling, anvendt metode, væsentlige resultater, evt. diskussion og konklusionen.
Projektarbejdet gennemføres under vejledning og skrives individuelt eller i grupper på maksimalt to personer </t>
        </r>
      </text>
    </comment>
    <comment ref="V9" authorId="0" shapeId="0" xr:uid="{00000000-0006-0000-0300-000019000000}">
      <text>
        <r>
          <rPr>
            <b/>
            <sz val="9"/>
            <color indexed="81"/>
            <rFont val="Tahoma"/>
            <family val="2"/>
          </rPr>
          <t>Jesper Brahm:</t>
        </r>
        <r>
          <rPr>
            <sz val="9"/>
            <color indexed="81"/>
            <rFont val="Tahoma"/>
            <family val="2"/>
          </rPr>
          <t xml:space="preserve">
Inkluderet i vejledernormen</t>
        </r>
      </text>
    </comment>
    <comment ref="O10" authorId="0" shapeId="0" xr:uid="{00000000-0006-0000-0300-00001A000000}">
      <text>
        <r>
          <rPr>
            <b/>
            <sz val="9"/>
            <color indexed="81"/>
            <rFont val="Tahoma"/>
            <family val="2"/>
          </rPr>
          <t>Jesper Brahm:</t>
        </r>
        <r>
          <rPr>
            <sz val="9"/>
            <color indexed="81"/>
            <rFont val="Tahoma"/>
            <family val="2"/>
          </rPr>
          <t xml:space="preserve">
Bachelor's Thesis, Quantitative Biology and Disease Modelling, 17,5 ECTS-credits</t>
        </r>
      </text>
    </comment>
    <comment ref="S10" authorId="0" shapeId="0" xr:uid="{00000000-0006-0000-0300-00001B000000}">
      <text>
        <r>
          <rPr>
            <b/>
            <sz val="9"/>
            <color indexed="81"/>
            <rFont val="Tahoma"/>
            <family val="2"/>
          </rPr>
          <t>Jesper Brahm:</t>
        </r>
        <r>
          <rPr>
            <sz val="9"/>
            <color indexed="81"/>
            <rFont val="Tahoma"/>
            <family val="2"/>
          </rPr>
          <t xml:space="preserve">
Skriftlig aflevering, -
Mundtligt forsvar, 30 min.
Projektet skal udstyres med et resumé på engelsk på højst en normalside med maks. 2400 anslag. Resuméet skal sammenfatte problemstilling, anvendt metode, væsentlige resultater, evt. diskussion og konklusionen.
Projektarbejdet gennemføres under vejledning og skrives individuelt eller i grupper på maksimalt to personer </t>
        </r>
      </text>
    </comment>
    <comment ref="V10" authorId="0" shapeId="0" xr:uid="{00000000-0006-0000-0300-00001C000000}">
      <text>
        <r>
          <rPr>
            <b/>
            <sz val="9"/>
            <color indexed="81"/>
            <rFont val="Tahoma"/>
            <family val="2"/>
          </rPr>
          <t>Jesper Brahm:</t>
        </r>
        <r>
          <rPr>
            <sz val="9"/>
            <color indexed="81"/>
            <rFont val="Tahoma"/>
            <family val="2"/>
          </rPr>
          <t xml:space="preserve">
Inkluderet i vejledernormen</t>
        </r>
      </text>
    </comment>
    <comment ref="O11" authorId="0" shapeId="0" xr:uid="{00000000-0006-0000-0300-00001D000000}">
      <text>
        <r>
          <rPr>
            <b/>
            <sz val="9"/>
            <color indexed="81"/>
            <rFont val="Tahoma"/>
            <family val="2"/>
          </rPr>
          <t>Jesper Brahm:</t>
        </r>
        <r>
          <rPr>
            <sz val="9"/>
            <color indexed="81"/>
            <rFont val="Tahoma"/>
            <family val="2"/>
          </rPr>
          <t xml:space="preserve">
Bachelor's Thesis, Quantitative Biology and Disease Modelling, 20 ECTS-credits</t>
        </r>
      </text>
    </comment>
    <comment ref="S11" authorId="0" shapeId="0" xr:uid="{00000000-0006-0000-0300-00001E000000}">
      <text>
        <r>
          <rPr>
            <b/>
            <sz val="9"/>
            <color indexed="81"/>
            <rFont val="Tahoma"/>
            <family val="2"/>
          </rPr>
          <t>Jesper Brahm:</t>
        </r>
        <r>
          <rPr>
            <sz val="9"/>
            <color indexed="81"/>
            <rFont val="Tahoma"/>
            <family val="2"/>
          </rPr>
          <t xml:space="preserve">
Skriftlig aflevering, -
Mundtligt forsvar, 30 min.
Projektet skal udstyres med et resumé på engelsk på højst en normalside med maks. 2400 anslag. Resuméet skal sammenfatte problemstilling, anvendt metode, væsentlige resultater, evt. diskussion og konklusionen.
Projektarbejdet gennemføres under vejledning og skrives individuelt eller i grupper på maksimalt to personer </t>
        </r>
      </text>
    </comment>
    <comment ref="V11" authorId="0" shapeId="0" xr:uid="{00000000-0006-0000-0300-00001F000000}">
      <text>
        <r>
          <rPr>
            <b/>
            <sz val="9"/>
            <color indexed="81"/>
            <rFont val="Tahoma"/>
            <family val="2"/>
          </rPr>
          <t>Jesper Brahm:</t>
        </r>
        <r>
          <rPr>
            <sz val="9"/>
            <color indexed="81"/>
            <rFont val="Tahoma"/>
            <family val="2"/>
          </rPr>
          <t xml:space="preserve">
Inkluderet i vejledernormen</t>
        </r>
      </text>
    </comment>
    <comment ref="O12" authorId="0" shapeId="0" xr:uid="{00000000-0006-0000-0300-000020000000}">
      <text>
        <r>
          <rPr>
            <b/>
            <sz val="9"/>
            <color indexed="81"/>
            <rFont val="Tahoma"/>
            <family val="2"/>
          </rPr>
          <t>Jesper Brahm:</t>
        </r>
        <r>
          <rPr>
            <sz val="9"/>
            <color indexed="81"/>
            <rFont val="Tahoma"/>
            <family val="2"/>
          </rPr>
          <t xml:space="preserve">
Course in Biomechanics of the Locomotor System</t>
        </r>
      </text>
    </comment>
    <comment ref="S12" authorId="0" shapeId="0" xr:uid="{00000000-0006-0000-0300-000021000000}">
      <text>
        <r>
          <rPr>
            <b/>
            <sz val="9"/>
            <color indexed="81"/>
            <rFont val="Tahoma"/>
            <family val="2"/>
          </rPr>
          <t>Jesper Brahm:</t>
        </r>
        <r>
          <rPr>
            <sz val="9"/>
            <color indexed="81"/>
            <rFont val="Tahoma"/>
            <family val="2"/>
          </rPr>
          <t xml:space="preserve">
Kursusrapporter</t>
        </r>
      </text>
    </comment>
    <comment ref="O13" authorId="0" shapeId="0" xr:uid="{00000000-0006-0000-0300-000022000000}">
      <text>
        <r>
          <rPr>
            <b/>
            <sz val="9"/>
            <color indexed="81"/>
            <rFont val="Tahoma"/>
            <family val="2"/>
          </rPr>
          <t>Jesper Brahm:</t>
        </r>
        <r>
          <rPr>
            <sz val="9"/>
            <color indexed="81"/>
            <rFont val="Tahoma"/>
            <family val="2"/>
          </rPr>
          <t xml:space="preserve">
BSc programme in Medicine and Technology (Biomedical Engineering)</t>
        </r>
      </text>
    </comment>
    <comment ref="S13" authorId="0" shapeId="0" xr:uid="{00000000-0006-0000-0300-000023000000}">
      <text>
        <r>
          <rPr>
            <b/>
            <sz val="9"/>
            <color indexed="81"/>
            <rFont val="Tahoma"/>
            <family val="2"/>
          </rPr>
          <t>Jesper Brahm:</t>
        </r>
        <r>
          <rPr>
            <sz val="9"/>
            <color indexed="81"/>
            <rFont val="Tahoma"/>
            <family val="2"/>
          </rPr>
          <t xml:space="preserve">
Oral examination, 25 minutes
Oral exam, without preparation
</t>
        </r>
      </text>
    </comment>
    <comment ref="O14" authorId="0" shapeId="0" xr:uid="{00000000-0006-0000-0300-000024000000}">
      <text>
        <r>
          <rPr>
            <b/>
            <sz val="9"/>
            <color indexed="81"/>
            <rFont val="Tahoma"/>
            <family val="2"/>
          </rPr>
          <t>Jesper Brahm:</t>
        </r>
        <r>
          <rPr>
            <sz val="9"/>
            <color indexed="81"/>
            <rFont val="Tahoma"/>
            <family val="2"/>
          </rPr>
          <t xml:space="preserve">
Biomechanics and Neural Control of Human Movement</t>
        </r>
      </text>
    </comment>
    <comment ref="O15" authorId="0" shapeId="0" xr:uid="{00000000-0006-0000-0300-000025000000}">
      <text>
        <r>
          <rPr>
            <b/>
            <sz val="9"/>
            <color indexed="81"/>
            <rFont val="Tahoma"/>
            <family val="2"/>
          </rPr>
          <t>Jesper Brahm:</t>
        </r>
        <r>
          <rPr>
            <sz val="9"/>
            <color indexed="81"/>
            <rFont val="Tahoma"/>
            <family val="2"/>
          </rPr>
          <t xml:space="preserve">
Advanced physiological modelling</t>
        </r>
      </text>
    </comment>
    <comment ref="S15" authorId="0" shapeId="0" xr:uid="{00000000-0006-0000-0300-000026000000}">
      <text>
        <r>
          <rPr>
            <b/>
            <sz val="9"/>
            <color indexed="81"/>
            <rFont val="Tahoma"/>
            <family val="2"/>
          </rPr>
          <t>Jesper Brahm:</t>
        </r>
        <r>
          <rPr>
            <sz val="9"/>
            <color indexed="81"/>
            <rFont val="Tahoma"/>
            <family val="2"/>
          </rPr>
          <t xml:space="preserve">
Written assignment, -
Oral examination, 30 min.
Oral exam includes a presentation of the project on the basis of the written report and discussion of biological, mathematical, and computational aspects of the project.</t>
        </r>
      </text>
    </comment>
    <comment ref="T15" authorId="0" shapeId="0" xr:uid="{00000000-0006-0000-0300-000027000000}">
      <text>
        <r>
          <rPr>
            <b/>
            <sz val="9"/>
            <color indexed="81"/>
            <rFont val="Tahoma"/>
            <family val="2"/>
          </rPr>
          <t>Jesper Brahm:</t>
        </r>
        <r>
          <rPr>
            <sz val="9"/>
            <color indexed="81"/>
            <rFont val="Tahoma"/>
            <family val="2"/>
          </rPr>
          <t xml:space="preserve">
Written assignment, -
Oral examination, 30 min.
Oral exam includes a presentation of the project on the basis of the written report and discussion of biological, mathematical, and computational aspects of the project.</t>
        </r>
      </text>
    </comment>
    <comment ref="V15" authorId="0" shapeId="0" xr:uid="{00000000-0006-0000-0300-000028000000}">
      <text>
        <r>
          <rPr>
            <b/>
            <sz val="9"/>
            <color indexed="81"/>
            <rFont val="Tahoma"/>
            <family val="2"/>
          </rPr>
          <t>Jesper Brahm:</t>
        </r>
        <r>
          <rPr>
            <sz val="9"/>
            <color indexed="81"/>
            <rFont val="Tahoma"/>
            <family val="2"/>
          </rPr>
          <t xml:space="preserve">
Intern
Estimeret</t>
        </r>
      </text>
    </comment>
    <comment ref="O16" authorId="0" shapeId="0" xr:uid="{00000000-0006-0000-0300-000029000000}">
      <text>
        <r>
          <rPr>
            <b/>
            <sz val="9"/>
            <color indexed="81"/>
            <rFont val="Tahoma"/>
            <family val="2"/>
          </rPr>
          <t>Jesper Brahm:</t>
        </r>
        <r>
          <rPr>
            <sz val="9"/>
            <color indexed="81"/>
            <rFont val="Tahoma"/>
            <family val="2"/>
          </rPr>
          <t xml:space="preserve">
Pathophysiology</t>
        </r>
      </text>
    </comment>
    <comment ref="O17" authorId="0" shapeId="0" xr:uid="{00000000-0006-0000-0300-00002A000000}">
      <text>
        <r>
          <rPr>
            <b/>
            <sz val="9"/>
            <color indexed="81"/>
            <rFont val="Tahoma"/>
            <family val="2"/>
          </rPr>
          <t>Jesper Brahm:</t>
        </r>
        <r>
          <rPr>
            <sz val="9"/>
            <color indexed="81"/>
            <rFont val="Tahoma"/>
            <family val="2"/>
          </rPr>
          <t xml:space="preserve">
Master's Thesis, Medicine and Technology</t>
        </r>
      </text>
    </comment>
    <comment ref="O18" authorId="0" shapeId="0" xr:uid="{00000000-0006-0000-0300-00002B000000}">
      <text>
        <r>
          <rPr>
            <b/>
            <sz val="9"/>
            <color indexed="81"/>
            <rFont val="Tahoma"/>
            <family val="2"/>
          </rPr>
          <t>Jesper Brahm:</t>
        </r>
        <r>
          <rPr>
            <sz val="9"/>
            <color indexed="81"/>
            <rFont val="Tahoma"/>
            <family val="2"/>
          </rPr>
          <t xml:space="preserve">
Master's Thesis, Medicine and Technology</t>
        </r>
      </text>
    </comment>
    <comment ref="O19" authorId="0" shapeId="0" xr:uid="{00000000-0006-0000-0300-00002C000000}">
      <text>
        <r>
          <rPr>
            <b/>
            <sz val="9"/>
            <color indexed="81"/>
            <rFont val="Tahoma"/>
            <family val="2"/>
          </rPr>
          <t>Jesper Brahm:</t>
        </r>
        <r>
          <rPr>
            <sz val="9"/>
            <color indexed="81"/>
            <rFont val="Tahoma"/>
            <family val="2"/>
          </rPr>
          <t xml:space="preserve">
Master's Thesis, Medicine and Technology, 35 ECTS-credits</t>
        </r>
      </text>
    </comment>
    <comment ref="O20" authorId="0" shapeId="0" xr:uid="{00000000-0006-0000-0300-00002D000000}">
      <text>
        <r>
          <rPr>
            <b/>
            <sz val="9"/>
            <color indexed="81"/>
            <rFont val="Tahoma"/>
            <family val="2"/>
          </rPr>
          <t>Jesper Brahm:</t>
        </r>
        <r>
          <rPr>
            <sz val="9"/>
            <color indexed="81"/>
            <rFont val="Tahoma"/>
            <family val="2"/>
          </rPr>
          <t xml:space="preserve">
Master's Thesis, Quantitative Biology and Disease Modelling, 30 ECTS-credits</t>
        </r>
      </text>
    </comment>
    <comment ref="O21" authorId="0" shapeId="0" xr:uid="{00000000-0006-0000-0300-00002E000000}">
      <text>
        <r>
          <rPr>
            <b/>
            <sz val="9"/>
            <color indexed="81"/>
            <rFont val="Tahoma"/>
            <family val="2"/>
          </rPr>
          <t>Jesper Brahm:</t>
        </r>
        <r>
          <rPr>
            <sz val="9"/>
            <color indexed="81"/>
            <rFont val="Tahoma"/>
            <family val="2"/>
          </rPr>
          <t xml:space="preserve">
Master's Thesis, Quantitative Biology and Disease Modelling, 32.5
 ECTS-credits</t>
        </r>
      </text>
    </comment>
    <comment ref="O22" authorId="0" shapeId="0" xr:uid="{00000000-0006-0000-0300-00002F000000}">
      <text>
        <r>
          <rPr>
            <b/>
            <sz val="9"/>
            <color indexed="81"/>
            <rFont val="Tahoma"/>
            <family val="2"/>
          </rPr>
          <t>Jesper Brahm:</t>
        </r>
        <r>
          <rPr>
            <sz val="9"/>
            <color indexed="81"/>
            <rFont val="Tahoma"/>
            <family val="2"/>
          </rPr>
          <t xml:space="preserve">
Master's Thesis, Quantitative Biology and Disease Modelling, 35
 ECTS-credits</t>
        </r>
      </text>
    </comment>
    <comment ref="C23" authorId="0" shapeId="0" xr:uid="{00000000-0006-0000-0300-000030000000}">
      <text>
        <r>
          <rPr>
            <b/>
            <sz val="8"/>
            <color indexed="81"/>
            <rFont val="Tahoma"/>
            <family val="2"/>
          </rPr>
          <t>Jesper Brahm:</t>
        </r>
        <r>
          <rPr>
            <sz val="8"/>
            <color indexed="81"/>
            <rFont val="Tahoma"/>
            <family val="2"/>
          </rPr>
          <t xml:space="preserve">
Number of students in the same project</t>
        </r>
      </text>
    </comment>
    <comment ref="D23" authorId="0" shapeId="0" xr:uid="{00000000-0006-0000-0300-000031000000}">
      <text>
        <r>
          <rPr>
            <b/>
            <sz val="9"/>
            <color indexed="81"/>
            <rFont val="Tahoma"/>
            <family val="2"/>
          </rPr>
          <t>Jesper Brahm:</t>
        </r>
        <r>
          <rPr>
            <sz val="9"/>
            <color indexed="81"/>
            <rFont val="Tahoma"/>
            <family val="2"/>
          </rPr>
          <t xml:space="preserve">
Your share of the supervision and marking</t>
        </r>
      </text>
    </comment>
    <comment ref="O23" authorId="0" shapeId="0" xr:uid="{00000000-0006-0000-0300-000032000000}">
      <text>
        <r>
          <rPr>
            <b/>
            <sz val="9"/>
            <color indexed="81"/>
            <rFont val="Tahoma"/>
            <family val="2"/>
          </rPr>
          <t>Jesper Brahm:</t>
        </r>
        <r>
          <rPr>
            <sz val="9"/>
            <color indexed="81"/>
            <rFont val="Tahoma"/>
            <family val="2"/>
          </rPr>
          <t xml:space="preserve">
MSc Programme in Medicine and Technology (Biomedical Engineering)</t>
        </r>
      </text>
    </comment>
    <comment ref="S23" authorId="0" shapeId="0" xr:uid="{00000000-0006-0000-0300-000033000000}">
      <text>
        <r>
          <rPr>
            <b/>
            <sz val="9"/>
            <color indexed="81"/>
            <rFont val="Tahoma"/>
            <family val="2"/>
          </rPr>
          <t>Jesper Brahm:</t>
        </r>
        <r>
          <rPr>
            <sz val="9"/>
            <color indexed="81"/>
            <rFont val="Tahoma"/>
            <family val="2"/>
          </rPr>
          <t xml:space="preserve">
Written assignment
    Handing-in of written reports based on exercise</t>
        </r>
      </text>
    </comment>
    <comment ref="V23" authorId="0" shapeId="0" xr:uid="{00000000-0006-0000-0300-000034000000}">
      <text>
        <r>
          <rPr>
            <b/>
            <sz val="9"/>
            <color indexed="81"/>
            <rFont val="Tahoma"/>
            <family val="2"/>
          </rPr>
          <t>Jesper Brahm:</t>
        </r>
        <r>
          <rPr>
            <sz val="9"/>
            <color indexed="81"/>
            <rFont val="Tahoma"/>
            <family val="2"/>
          </rPr>
          <t xml:space="preserve">
9 rapporter</t>
        </r>
      </text>
    </comment>
    <comment ref="O24" authorId="0" shapeId="0" xr:uid="{00000000-0006-0000-0300-000035000000}">
      <text>
        <r>
          <rPr>
            <b/>
            <sz val="9"/>
            <color indexed="81"/>
            <rFont val="Tahoma"/>
            <family val="2"/>
          </rPr>
          <t>Jesper Brahm:</t>
        </r>
        <r>
          <rPr>
            <sz val="9"/>
            <color indexed="81"/>
            <rFont val="Tahoma"/>
            <family val="2"/>
          </rPr>
          <t xml:space="preserve">
Introductory Course</t>
        </r>
      </text>
    </comment>
    <comment ref="S24" authorId="0" shapeId="0" xr:uid="{00000000-0006-0000-0300-000036000000}">
      <text>
        <r>
          <rPr>
            <b/>
            <sz val="9"/>
            <color indexed="81"/>
            <rFont val="Tahoma"/>
            <family val="2"/>
          </rPr>
          <t>Jesper Brahm:</t>
        </r>
        <r>
          <rPr>
            <sz val="9"/>
            <color indexed="81"/>
            <rFont val="Tahoma"/>
            <family val="2"/>
          </rPr>
          <t xml:space="preserve">
Intern
Estimeret 1-3 sider</t>
        </r>
      </text>
    </comment>
    <comment ref="O25" authorId="0" shapeId="0" xr:uid="{00000000-0006-0000-0300-000037000000}">
      <text>
        <r>
          <rPr>
            <b/>
            <sz val="9"/>
            <color indexed="81"/>
            <rFont val="Tahoma"/>
            <family val="2"/>
          </rPr>
          <t>Jesper Brahm:</t>
        </r>
        <r>
          <rPr>
            <sz val="9"/>
            <color indexed="81"/>
            <rFont val="Tahoma"/>
            <family val="2"/>
          </rPr>
          <t xml:space="preserve">
Human Biology, Health Informatics</t>
        </r>
      </text>
    </comment>
    <comment ref="O26" authorId="0" shapeId="0" xr:uid="{00000000-0006-0000-0300-000038000000}">
      <text>
        <r>
          <rPr>
            <b/>
            <sz val="9"/>
            <color indexed="81"/>
            <rFont val="Tahoma"/>
            <family val="2"/>
          </rPr>
          <t>Jesper Brahm:</t>
        </r>
        <r>
          <rPr>
            <sz val="9"/>
            <color indexed="81"/>
            <rFont val="Tahoma"/>
            <family val="2"/>
          </rPr>
          <t xml:space="preserve">
Human Diseases for Non-Clinicians</t>
        </r>
      </text>
    </comment>
    <comment ref="O27" authorId="0" shapeId="0" xr:uid="{00000000-0006-0000-0300-000039000000}">
      <text>
        <r>
          <rPr>
            <b/>
            <sz val="9"/>
            <color indexed="81"/>
            <rFont val="Tahoma"/>
            <family val="2"/>
          </rPr>
          <t>Jesper Brahm:</t>
        </r>
        <r>
          <rPr>
            <sz val="9"/>
            <color indexed="81"/>
            <rFont val="Tahoma"/>
            <family val="2"/>
          </rPr>
          <t xml:space="preserve">
BA-project - credit transfer BA project at SUND</t>
        </r>
      </text>
    </comment>
    <comment ref="S27" authorId="0" shapeId="0" xr:uid="{00000000-0006-0000-0300-00003A000000}">
      <text>
        <r>
          <rPr>
            <b/>
            <sz val="9"/>
            <color indexed="81"/>
            <rFont val="Tahoma"/>
            <family val="2"/>
          </rPr>
          <t>Jesper Brahm:</t>
        </r>
        <r>
          <rPr>
            <sz val="9"/>
            <color indexed="81"/>
            <rFont val="Tahoma"/>
            <family val="2"/>
          </rPr>
          <t xml:space="preserve">
Skriftlig aflevering, 1 eller 2 blokke.
Mundtlig prøve, 30-60 minutter.
Bachelorprojektet afsluttes med en mundtlig prøve uden forberedelse. Prøven varer 30- 60 minutter inkl. et oplæg på 10-25 minutter. 
Bachelorprojektet kan gennemføres i grupper på maksimalt 4 personer. Inden bachelorprojektet påbegyndes, skal det aftales med den hovedansvarlige vejleder, hvorvidt projektet gennemføres som et gruppearbejde.</t>
        </r>
      </text>
    </comment>
    <comment ref="O28" authorId="0" shapeId="0" xr:uid="{00000000-0006-0000-0300-00003B000000}">
      <text>
        <r>
          <rPr>
            <b/>
            <sz val="9"/>
            <color indexed="81"/>
            <rFont val="Tahoma"/>
            <family val="2"/>
          </rPr>
          <t>Jesper Brahm:</t>
        </r>
        <r>
          <rPr>
            <sz val="9"/>
            <color indexed="81"/>
            <rFont val="Tahoma"/>
            <family val="2"/>
          </rPr>
          <t xml:space="preserve">
Human Biology</t>
        </r>
      </text>
    </comment>
    <comment ref="K29" authorId="0" shapeId="0" xr:uid="{00000000-0006-0000-0300-00003C000000}">
      <text>
        <r>
          <rPr>
            <b/>
            <sz val="9"/>
            <color indexed="81"/>
            <rFont val="Tahoma"/>
            <family val="2"/>
          </rPr>
          <t>Jesper Brahm:</t>
        </r>
        <r>
          <rPr>
            <sz val="9"/>
            <color indexed="81"/>
            <rFont val="Tahoma"/>
            <family val="2"/>
          </rPr>
          <t xml:space="preserve">
e.g. duration (h) of the exam</t>
        </r>
      </text>
    </comment>
    <comment ref="O29" authorId="0" shapeId="0" xr:uid="{00000000-0006-0000-0300-00003D000000}">
      <text>
        <r>
          <rPr>
            <b/>
            <sz val="9"/>
            <color indexed="81"/>
            <rFont val="Tahoma"/>
            <family val="2"/>
          </rPr>
          <t>Jesper Brahm:</t>
        </r>
        <r>
          <rPr>
            <sz val="9"/>
            <color indexed="81"/>
            <rFont val="Tahoma"/>
            <family val="2"/>
          </rPr>
          <t xml:space="preserve">
Human Diseases for Non-Clinicians</t>
        </r>
      </text>
    </comment>
    <comment ref="O30" authorId="0" shapeId="0" xr:uid="{00000000-0006-0000-0300-00003E000000}">
      <text>
        <r>
          <rPr>
            <b/>
            <sz val="9"/>
            <color indexed="81"/>
            <rFont val="Tahoma"/>
            <family val="2"/>
          </rPr>
          <t>Jesper Brahm:</t>
        </r>
        <r>
          <rPr>
            <sz val="9"/>
            <color indexed="81"/>
            <rFont val="Tahoma"/>
            <family val="2"/>
          </rPr>
          <t xml:space="preserve">
Physical activity in prevention, treatment and rehabilitation of diseases</t>
        </r>
      </text>
    </comment>
    <comment ref="O31" authorId="0" shapeId="0" xr:uid="{00000000-0006-0000-0300-00003F000000}">
      <text>
        <r>
          <rPr>
            <b/>
            <sz val="9"/>
            <color indexed="81"/>
            <rFont val="Tahoma"/>
            <family val="2"/>
          </rPr>
          <t>Jesper Brahm:</t>
        </r>
        <r>
          <rPr>
            <sz val="9"/>
            <color indexed="81"/>
            <rFont val="Tahoma"/>
            <family val="2"/>
          </rPr>
          <t xml:space="preserve">
Master's Thesis, Public Health</t>
        </r>
      </text>
    </comment>
    <comment ref="S31" authorId="0" shapeId="0" xr:uid="{00000000-0006-0000-0300-000040000000}">
      <text>
        <r>
          <rPr>
            <b/>
            <sz val="9"/>
            <color indexed="81"/>
            <rFont val="Tahoma"/>
            <family val="2"/>
          </rPr>
          <t>Jesper Brahm:</t>
        </r>
        <r>
          <rPr>
            <sz val="9"/>
            <color indexed="81"/>
            <rFont val="Tahoma"/>
            <family val="2"/>
          </rPr>
          <t xml:space="preserve">
Skriftlig aflevering, -
Mundtlig prøve, 45 minutter med opsyn.
Skriftlig projektopgave med efterfølgende mundtlig individuel eller gruppeprøve på grundlag af det skriftlige arbejde. Den skriftlige del af specialet vægter tungest i bedømmelsen af specialet. </t>
        </r>
      </text>
    </comment>
    <comment ref="O32" authorId="0" shapeId="0" xr:uid="{00000000-0006-0000-0300-000041000000}">
      <text>
        <r>
          <rPr>
            <b/>
            <sz val="9"/>
            <color indexed="81"/>
            <rFont val="Tahoma"/>
            <family val="2"/>
          </rPr>
          <t>Jesper Brahm:</t>
        </r>
        <r>
          <rPr>
            <sz val="9"/>
            <color indexed="81"/>
            <rFont val="Tahoma"/>
            <family val="2"/>
          </rPr>
          <t xml:space="preserve">
MSc in Pharmaceutical Sciences - compulsory, MSc in Medicinal Chemistry - compulsory, Cand.Scient.Pharm. - compulsory, Cand.Pharm. - compulsory</t>
        </r>
      </text>
    </comment>
    <comment ref="S32" authorId="0" shapeId="0" xr:uid="{00000000-0006-0000-0300-000042000000}">
      <text>
        <r>
          <rPr>
            <b/>
            <sz val="9"/>
            <color indexed="81"/>
            <rFont val="Tahoma"/>
            <family val="2"/>
          </rPr>
          <t>Jesper Brahm:</t>
        </r>
        <r>
          <rPr>
            <sz val="9"/>
            <color indexed="81"/>
            <rFont val="Tahoma"/>
            <family val="2"/>
          </rPr>
          <t xml:space="preserve">
Written assignment
Oral defence, 1-1,5 hour
The assessment of the master’s thesis is based on the written thesis, the abstract and the oral defence including an oral presentation and subsequent discussion.</t>
        </r>
      </text>
    </comment>
    <comment ref="O33" authorId="0" shapeId="0" xr:uid="{00000000-0006-0000-0300-000043000000}">
      <text>
        <r>
          <rPr>
            <b/>
            <sz val="9"/>
            <color indexed="81"/>
            <rFont val="Tahoma"/>
            <family val="2"/>
          </rPr>
          <t>Jesper Brahm:</t>
        </r>
        <r>
          <rPr>
            <sz val="9"/>
            <color indexed="81"/>
            <rFont val="Tahoma"/>
            <family val="2"/>
          </rPr>
          <t xml:space="preserve">
Translational Pharmacology - From Concept to Medical Drug and from Concept to Biotech Company</t>
        </r>
      </text>
    </comment>
  </commentList>
</comments>
</file>

<file path=xl/sharedStrings.xml><?xml version="1.0" encoding="utf-8"?>
<sst xmlns="http://schemas.openxmlformats.org/spreadsheetml/2006/main" count="1118" uniqueCount="558">
  <si>
    <t>VEJLEDNING</t>
  </si>
  <si>
    <t>FILNAVN</t>
  </si>
  <si>
    <t>ICMM</t>
  </si>
  <si>
    <t>BMI</t>
  </si>
  <si>
    <t>IFSV</t>
  </si>
  <si>
    <t>IKM</t>
  </si>
  <si>
    <t>Bach</t>
  </si>
  <si>
    <t>Kand</t>
  </si>
  <si>
    <t>Eks-mol-biol-gen-bioinfo-syst-biol-adv-cell-biol</t>
  </si>
  <si>
    <t>CPC</t>
  </si>
  <si>
    <t>Sem</t>
  </si>
  <si>
    <t>Cv</t>
  </si>
  <si>
    <t>OI</t>
  </si>
  <si>
    <t>BI</t>
  </si>
  <si>
    <t>Med</t>
  </si>
  <si>
    <t>Odont</t>
  </si>
  <si>
    <t>Fsv</t>
  </si>
  <si>
    <t>Its</t>
  </si>
  <si>
    <t>ISIM</t>
  </si>
  <si>
    <t>Sorte tal: fra kursus-/eksamensbeskrivelser/normkataloget/censornormer</t>
  </si>
  <si>
    <t>Røde tal: konstruerede/anslåede</t>
  </si>
  <si>
    <t>JBR ©</t>
  </si>
  <si>
    <t>Introduktion til studiet (O)</t>
  </si>
  <si>
    <t>Medicinsk genetik (O)</t>
  </si>
  <si>
    <t>Hoved, halsen, cns anatomi (O)</t>
  </si>
  <si>
    <t>Medicinsk fysiologi og patofysiologi (O)</t>
  </si>
  <si>
    <t>Bachelorprojekt (O)</t>
  </si>
  <si>
    <t>Farmakologi (O-bach)</t>
  </si>
  <si>
    <t>Advanced cell biology (H)</t>
  </si>
  <si>
    <t>Molecular biology and genetics (H)</t>
  </si>
  <si>
    <t>Bioinformatics and system biology (H)</t>
  </si>
  <si>
    <t>Masterafhandling (H)</t>
  </si>
  <si>
    <t>Human patophysiology (H)</t>
  </si>
  <si>
    <t>Pharmacology and toxicology (H)</t>
  </si>
  <si>
    <t>Master thesis grant application course (H)</t>
  </si>
  <si>
    <t>Neuronal signaling (H)</t>
  </si>
  <si>
    <t>Translational pharmacology (H)</t>
  </si>
  <si>
    <t>Humanbiologi (B)</t>
  </si>
  <si>
    <t>Cellular neuroscience (B)</t>
  </si>
  <si>
    <t>Gene therapy (B)</t>
  </si>
  <si>
    <t>RNA Biology (B)</t>
  </si>
  <si>
    <t>Celle- og vævsbiologi  (C)</t>
  </si>
  <si>
    <t>Bevægeapparatets biomekanik (C)</t>
  </si>
  <si>
    <t>Videregående fysiologisk modellering (C)</t>
  </si>
  <si>
    <t>Patofysiologi (C)</t>
  </si>
  <si>
    <t>Kandidatspeciale (F)</t>
  </si>
  <si>
    <t>Bachelorprojekt (M)</t>
  </si>
  <si>
    <t>Medicinsk genetik (B)</t>
  </si>
  <si>
    <t>Medicinsk genetik (M)</t>
  </si>
  <si>
    <t>Medicinsk celle- og vævsbiologi (O)</t>
  </si>
  <si>
    <t>Spot-mikroskopisk (O)</t>
  </si>
  <si>
    <t>Excitable celler (O)</t>
  </si>
  <si>
    <t>Integr-eksam-cellebiol-excit-celle-spot (O)</t>
  </si>
  <si>
    <t>Medicinsk celle- og vævsbiologi (M)</t>
  </si>
  <si>
    <t>Spot-mikroskopisk (M)</t>
  </si>
  <si>
    <t>Excitable celler (M)</t>
  </si>
  <si>
    <t>Integr-eksam-cellebiol-excit-celle-spot (M)</t>
  </si>
  <si>
    <t>Medicinsk celle- og vævsbiologi (B)</t>
  </si>
  <si>
    <t>Spot-mikroskopisk (B)</t>
  </si>
  <si>
    <t>Excitable celler (B)</t>
  </si>
  <si>
    <t>Integr-eksam-cellebiol-excit-celle-spot (B)</t>
  </si>
  <si>
    <t>Sygdomslære for ikke-klinikere (F)</t>
  </si>
  <si>
    <t>Humanbiologi (F)</t>
  </si>
  <si>
    <t>Humanbiologi (C)</t>
  </si>
  <si>
    <t>Sygdomslære for ikke-klinikere (C)</t>
  </si>
  <si>
    <t>Sygdomslære for ikke-klinikere (I)</t>
  </si>
  <si>
    <t>Courses</t>
  </si>
  <si>
    <t>Marking of exams/makeup exams</t>
  </si>
  <si>
    <t>Supervision and marking</t>
  </si>
  <si>
    <t>No.</t>
  </si>
  <si>
    <t>Your %</t>
  </si>
  <si>
    <t>Factor</t>
  </si>
  <si>
    <t>Course leadership (all inclusive!)</t>
  </si>
  <si>
    <t>No exam.</t>
  </si>
  <si>
    <t>UR/unit</t>
  </si>
  <si>
    <t>Preparation of Q for exam inclusive makeup exam</t>
  </si>
  <si>
    <t>UR-hours, part 2</t>
  </si>
  <si>
    <t>UR-hours, sum</t>
  </si>
  <si>
    <t>UR-hours, part 1</t>
  </si>
  <si>
    <t>Your UR-hour-specification</t>
  </si>
  <si>
    <t>Medicine</t>
  </si>
  <si>
    <t>Sum</t>
  </si>
  <si>
    <t>Mail the file to:</t>
  </si>
  <si>
    <t>Errors, corrigenda, or addenda: mail to:</t>
  </si>
  <si>
    <t>Written.</t>
  </si>
  <si>
    <t>% of set</t>
  </si>
  <si>
    <t>Wr-hw.</t>
  </si>
  <si>
    <t>UR-h</t>
  </si>
  <si>
    <t>h/exam</t>
  </si>
  <si>
    <t>Period</t>
  </si>
  <si>
    <t>BMI/ICMM</t>
  </si>
  <si>
    <t>Basal humanbiol/cellens kem komp (O)</t>
  </si>
  <si>
    <t>Introduktionskursus (M)</t>
  </si>
  <si>
    <t>Basal humanbiol/cellens kem komp (M)</t>
  </si>
  <si>
    <t>TPK (M)</t>
  </si>
  <si>
    <t>Medicinsk psykologi og sundhedspsyk (M)</t>
  </si>
  <si>
    <t>Bevægeapparat/perifere nervesystem (M)</t>
  </si>
  <si>
    <t>Spot-makroskopisk (M)</t>
  </si>
  <si>
    <t>CNS struktur og funktion (M)</t>
  </si>
  <si>
    <t>Videnskabsteori (M)</t>
  </si>
  <si>
    <t>Hjerte, kredsløb og lunger (M)</t>
  </si>
  <si>
    <t>Mave, tarm og lever (M)</t>
  </si>
  <si>
    <t>Nyrer og urinveje (M)</t>
  </si>
  <si>
    <t>Endokrinologi, reproduktion og blod (M)</t>
  </si>
  <si>
    <t>Immunologi (M)</t>
  </si>
  <si>
    <t>Basal patologi (M)</t>
  </si>
  <si>
    <t>Basal farmakologi (M)</t>
  </si>
  <si>
    <t>Integr-eksam-immun-basal-pato-farma (M)</t>
  </si>
  <si>
    <t>Mikrobiologisk øvelseskursus (M)</t>
  </si>
  <si>
    <t>Kliniske sygdomsenheder (M)</t>
  </si>
  <si>
    <t>Integr-eksam-mikrobiol-klin-sygdomsenh (M)</t>
  </si>
  <si>
    <t>Diagnostiske fag (M)</t>
  </si>
  <si>
    <t>OSCE (M)</t>
  </si>
  <si>
    <t>Biokemi (O)</t>
  </si>
  <si>
    <t>Master-projekt (P)</t>
  </si>
  <si>
    <t>FARM</t>
  </si>
  <si>
    <t>Klin kursus dermato-venerologi</t>
  </si>
  <si>
    <t>Year of teaching (yyyy)</t>
  </si>
  <si>
    <t>Jesper Brahm</t>
  </si>
  <si>
    <t>Free text 1</t>
  </si>
  <si>
    <t>Free text 2 (e.g. buy off, special arrrangement etc.)</t>
  </si>
  <si>
    <t>Klin kurs. psyk inkl børne-/ungdompsyk (M)</t>
  </si>
  <si>
    <t>MedTek-ITS-FSV-Farm</t>
  </si>
  <si>
    <t>Human fysiologi (B)</t>
  </si>
  <si>
    <t>Human neurobiologi (H)</t>
  </si>
  <si>
    <t>Modelling of physiological  systems (C )</t>
  </si>
  <si>
    <t>Chronic inflammation. Bas res to ther (B)</t>
  </si>
  <si>
    <t>Kurs &amp; eksam i int med &amp; kir (M)</t>
  </si>
  <si>
    <t>Your surname</t>
  </si>
  <si>
    <t>UR-HOUR (UR-h, TEACHING-RELATED-HOUR) REGISTRATION</t>
  </si>
  <si>
    <t>Konfrontationsundervisning/E-læringsaktiviteter</t>
  </si>
  <si>
    <t>Forelæsning/E-forelæsning/OBL-forelæsning</t>
  </si>
  <si>
    <t>Holdundervisning/OBL-holdundervisning</t>
  </si>
  <si>
    <t>Øvelsesundervisning/OBL-øvelsesundervisning</t>
  </si>
  <si>
    <t>VIP-personale. I juni 2018 er tilføjet normer for e-læringsaktiviteter.</t>
  </si>
  <si>
    <t>Finansministeriet</t>
  </si>
  <si>
    <t>på baggrund af antal sider.</t>
  </si>
  <si>
    <t>eksamensforberedelse og bedømmelse</t>
  </si>
  <si>
    <t>ikke 120</t>
  </si>
  <si>
    <t>kursusbasen, da kun denne del honoreres med 2 UR-timer pr. ECTS vejledning. Eksempel: Et forløb på 15 ECTS har fx 2,5 ECTS vejledning - resten er den studerendes</t>
  </si>
  <si>
    <t>forberedelse og arbejde samt eksamen - her gives 2 UR timer x 2,5 ECTS = i alt 5 UR-timer</t>
  </si>
  <si>
    <t>ekstra UR-timer for bedømmelsen</t>
  </si>
  <si>
    <t>som hold ved ”Holdundervisning”) ud over ét tillægges 10 % UR ud over de 60 UR.</t>
  </si>
  <si>
    <t>Formel for udregningen er: Kompensation = 5 UR x ECTS + 5 UR x ECTS x (hold - 1) x 0.1 (dog minimum 20 og maksimum 60 UR som basisnorm). Kursusansvars-UR beregnes på</t>
  </si>
  <si>
    <t>baggrund af summen af ECTS på såvel undervisning og eksamen. For at udløse kursusansvars-UR skal et kursus mindst være på 2,5 ECTS.</t>
  </si>
  <si>
    <t>NOTER</t>
  </si>
  <si>
    <r>
      <rPr>
        <b/>
        <sz val="10"/>
        <rFont val="Calibri"/>
        <family val="2"/>
        <scheme val="minor"/>
      </rPr>
      <t>Normerne gælder</t>
    </r>
    <r>
      <rPr>
        <sz val="10"/>
        <rFont val="Calibri"/>
        <family val="2"/>
        <scheme val="minor"/>
      </rPr>
      <t xml:space="preserve"> fra forårssemesteret 2014 i forhold til opgørelse og registrering af undervisningsrelaterede aktiviteter på bachelor-, kandidat- og masteruddannelser for SUND’s</t>
    </r>
  </si>
  <si>
    <r>
      <t xml:space="preserve">Normer for </t>
    </r>
    <r>
      <rPr>
        <b/>
        <sz val="10"/>
        <rFont val="Calibri"/>
        <family val="2"/>
        <scheme val="minor"/>
      </rPr>
      <t>eksterne lektorer, eksterne kliniske lektorer, afdelingstandlæger og undervisningsassistenter</t>
    </r>
    <r>
      <rPr>
        <sz val="10"/>
        <rFont val="Calibri"/>
        <family val="2"/>
        <scheme val="minor"/>
      </rPr>
      <t xml:space="preserve"> er fastlagt i henhold til overenskomsterne mellem AC og</t>
    </r>
  </si>
  <si>
    <r>
      <rPr>
        <b/>
        <sz val="10"/>
        <rFont val="Calibri"/>
        <family val="2"/>
        <scheme val="minor"/>
      </rPr>
      <t>UR-time</t>
    </r>
    <r>
      <rPr>
        <sz val="10"/>
        <rFont val="Calibri"/>
        <family val="2"/>
        <scheme val="minor"/>
      </rPr>
      <t>: En UndervisningsRelateret time svarende til 60 minutter</t>
    </r>
  </si>
  <si>
    <r>
      <rPr>
        <b/>
        <sz val="10"/>
        <rFont val="Calibri"/>
        <family val="2"/>
        <scheme val="minor"/>
      </rPr>
      <t xml:space="preserve">Typen af undervisning </t>
    </r>
    <r>
      <rPr>
        <sz val="10"/>
        <rFont val="Calibri"/>
        <family val="2"/>
        <scheme val="minor"/>
      </rPr>
      <t>skal fremgå af kursusdatabasen (forelæsning, holdtime, øvelse, vejledning, m.fl.)</t>
    </r>
  </si>
  <si>
    <r>
      <rPr>
        <b/>
        <sz val="10"/>
        <rFont val="Calibri"/>
        <family val="2"/>
        <scheme val="minor"/>
      </rPr>
      <t>Mht. e-læringsaktiviteter</t>
    </r>
    <r>
      <rPr>
        <sz val="10"/>
        <rFont val="Calibri"/>
        <family val="2"/>
        <scheme val="minor"/>
      </rPr>
      <t>: E-læringsaktiviteter som fx spil kategoriseres som rene online-kurser/ikke-monitorerede kurser, og der gives normalt ikke konfrontations-UR.</t>
    </r>
  </si>
  <si>
    <r>
      <rPr>
        <b/>
        <sz val="10"/>
        <rFont val="Calibri"/>
        <family val="2"/>
        <scheme val="minor"/>
      </rPr>
      <t>Nye aktiviteter</t>
    </r>
    <r>
      <rPr>
        <sz val="10"/>
        <rFont val="Calibri"/>
        <family val="2"/>
        <scheme val="minor"/>
      </rPr>
      <t>: Norm for nye aktiviteter besluttes af prodekan for uddannelse efter konkret vurdering.</t>
    </r>
  </si>
  <si>
    <r>
      <rPr>
        <b/>
        <sz val="10"/>
        <rFont val="Calibri"/>
        <family val="2"/>
        <scheme val="minor"/>
      </rPr>
      <t>Eksamen: Kombinationseksaminer</t>
    </r>
    <r>
      <rPr>
        <sz val="10"/>
        <rFont val="Calibri"/>
        <family val="2"/>
        <scheme val="minor"/>
      </rPr>
      <t xml:space="preserve"> fx Spot prøve + mundtlig eksamen, MC-eksamen med essayspørgsmål udløser UR for begge dele. Dvs. norm for essayspørgsmål uddregnes</t>
    </r>
  </si>
  <si>
    <r>
      <rPr>
        <b/>
        <sz val="10"/>
        <rFont val="Calibri"/>
        <family val="2"/>
        <scheme val="minor"/>
      </rPr>
      <t>Syge/reeksamen</t>
    </r>
    <r>
      <rPr>
        <sz val="10"/>
        <rFont val="Calibri"/>
        <family val="2"/>
        <scheme val="minor"/>
      </rPr>
      <t>: Forberedelse og udarbejdelse af eventuel syge/reeksamen er indeholdt i normen for ordinær eksamen</t>
    </r>
  </si>
  <si>
    <r>
      <rPr>
        <b/>
        <sz val="10"/>
        <rFont val="Calibri"/>
        <family val="2"/>
        <scheme val="minor"/>
      </rPr>
      <t>Ekstern censur</t>
    </r>
    <r>
      <rPr>
        <sz val="10"/>
        <rFont val="Calibri"/>
        <family val="2"/>
        <scheme val="minor"/>
      </rPr>
      <t xml:space="preserve"> - Ved prøver med </t>
    </r>
    <r>
      <rPr>
        <b/>
        <sz val="10"/>
        <rFont val="Calibri"/>
        <family val="2"/>
        <scheme val="minor"/>
      </rPr>
      <t>ekstern censur</t>
    </r>
    <r>
      <rPr>
        <sz val="10"/>
        <rFont val="Calibri"/>
        <family val="2"/>
        <scheme val="minor"/>
      </rPr>
      <t xml:space="preserve"> benytter eksaminator den eksterne censurnorm: Eksterne censornormer: http://sund.ku.dk/uddannelse/censor/.</t>
    </r>
  </si>
  <si>
    <r>
      <rPr>
        <b/>
        <sz val="10"/>
        <rFont val="Calibri"/>
        <family val="2"/>
        <scheme val="minor"/>
      </rPr>
      <t>Kurser med kursusattester og løbende eksaminer</t>
    </r>
    <r>
      <rPr>
        <sz val="10"/>
        <rFont val="Calibri"/>
        <family val="2"/>
        <scheme val="minor"/>
      </rPr>
      <t>: Eksamensforberedelse og bedømmelse er indeholdt i kursets forberedelsesnorm, og der tildeles ikke ekstra UR-timer for</t>
    </r>
  </si>
  <si>
    <r>
      <rPr>
        <b/>
        <sz val="10"/>
        <rFont val="Calibri"/>
        <family val="2"/>
        <scheme val="minor"/>
      </rPr>
      <t>Vejledning</t>
    </r>
    <r>
      <rPr>
        <sz val="10"/>
        <rFont val="Calibri"/>
        <family val="2"/>
        <scheme val="minor"/>
      </rPr>
      <t>: Et vejledningsforløb kan max udløse 80 UR-timer. Dvs. et speciale på 45 ECTS vil udløse 80 UR-timer og ikke 90, et speciale på 60 ECTS vil udløse 80 UR-timer og</t>
    </r>
  </si>
  <si>
    <r>
      <rPr>
        <b/>
        <sz val="10"/>
        <rFont val="Calibri"/>
        <family val="2"/>
        <scheme val="minor"/>
      </rPr>
      <t>Vejledning af grupper</t>
    </r>
    <r>
      <rPr>
        <sz val="10"/>
        <rFont val="Calibri"/>
        <family val="2"/>
        <scheme val="minor"/>
      </rPr>
      <t>: Der tillægges 15 % ved grupper à 2 studerende og 30 % ved grupper à 3 eller flere studerende</t>
    </r>
  </si>
  <si>
    <r>
      <rPr>
        <b/>
        <sz val="10"/>
        <rFont val="Calibri"/>
        <family val="2"/>
        <scheme val="minor"/>
      </rPr>
      <t>Anden vejledning</t>
    </r>
    <r>
      <rPr>
        <sz val="10"/>
        <rFont val="Calibri"/>
        <family val="2"/>
        <scheme val="minor"/>
      </rPr>
      <t>: Selve vejledningsdelen honoreres med 2 UR-timer pr. ECTS. Dvs., at vejledningens andel af den samlede ECTS-sum skal fremgå tydeligt af kursusbeskrivelsen i</t>
    </r>
  </si>
  <si>
    <r>
      <rPr>
        <b/>
        <sz val="10"/>
        <rFont val="Calibri"/>
        <family val="2"/>
        <scheme val="minor"/>
      </rPr>
      <t>Bedømmelse af bachelorprojekter, kandidatspecialer, masterafhandlinger og anden projektvejledning</t>
    </r>
    <r>
      <rPr>
        <sz val="10"/>
        <rFont val="Calibri"/>
        <family val="2"/>
        <scheme val="minor"/>
      </rPr>
      <t>: Bedømmelsen er indeholdt i vejledningsnormen, og der tildeles ikke</t>
    </r>
  </si>
  <si>
    <r>
      <rPr>
        <b/>
        <sz val="10"/>
        <rFont val="Calibri"/>
        <family val="2"/>
        <scheme val="minor"/>
      </rPr>
      <t>Kursusansvar</t>
    </r>
    <r>
      <rPr>
        <sz val="10"/>
        <rFont val="Calibri"/>
        <family val="2"/>
        <scheme val="minor"/>
      </rPr>
      <t xml:space="preserve"> kompenseres med en generel basisnorm på 5 UR pr. ECTS på kurset/eksamen (dog minimum 20 og maksimum 60 UR). Hvert ekstra undervisningshold (defineret</t>
    </r>
  </si>
  <si>
    <r>
      <rPr>
        <b/>
        <sz val="10"/>
        <rFont val="Calibri"/>
        <family val="2"/>
        <scheme val="minor"/>
      </rPr>
      <t>Universitetspædagogikum</t>
    </r>
    <r>
      <rPr>
        <sz val="10"/>
        <rFont val="Calibri"/>
        <family val="2"/>
        <scheme val="minor"/>
      </rPr>
      <t>: Post-docs kompenseres ikke for deltagelse i IUP og Universitetspædagogikum.</t>
    </r>
  </si>
  <si>
    <r>
      <rPr>
        <b/>
        <sz val="10"/>
        <rFont val="Calibri"/>
        <family val="2"/>
        <scheme val="minor"/>
      </rPr>
      <t>Studienævn</t>
    </r>
    <r>
      <rPr>
        <sz val="10"/>
        <rFont val="Calibri"/>
        <family val="2"/>
        <scheme val="minor"/>
      </rPr>
      <t>: Frikøb for studieleder/studienævnsformand administreres af Økonomikontoret, SUND</t>
    </r>
  </si>
  <si>
    <t xml:space="preserve">(med el. uden medvirken af patient) - typisk 6-8 studerende pr. hold, fx case-gennemgang </t>
  </si>
  <si>
    <t>Nye aktiviteter</t>
  </si>
  <si>
    <t>2. Bedømmelse af eksaminer - Censurform &amp; Norm
Censurform &amp; Norm</t>
  </si>
  <si>
    <t>Ekstern - se note</t>
  </si>
  <si>
    <t>Intern bedømmer</t>
  </si>
  <si>
    <t>Censurnorm * antal
studerende</t>
  </si>
  <si>
    <t>½ time * antal studerende</t>
  </si>
  <si>
    <t>Kursusopgave (udarbejdelse af problemformulering
/ godkendelse af individuelle problemformuleringer for helt hold)</t>
  </si>
  <si>
    <t>Censurnorm * antal studerende</t>
  </si>
  <si>
    <t>1-3 sider: 20 min * antal studerende
4-6 sider: 30 min * antal studerende
7-10 sider: 45 min * antal studerende
11-15 sider: 60 min * antal studerende
16-20 sider: 75 min * antal studerende
21-25 sider: 90 min * antal studerende</t>
  </si>
  <si>
    <t>Basisnorm på 5 UAT pr. ECTS (dog minimum 20 og maksimum 60 UR). For ekstra undervisningshold ud over ét tillægges 10 % UR - se note</t>
  </si>
  <si>
    <t>(inkl. undervisning i klinik m. patient) - typisk 24-30 studerende pr. hold</t>
  </si>
  <si>
    <t>Tilstedeværelse</t>
  </si>
  <si>
    <t>Anden undervisning</t>
  </si>
  <si>
    <t>Konkret vurdering - se note</t>
  </si>
  <si>
    <t>Vejledning af bachelorprojekter, kandidatspecialer,
masterafhandlinger, 1.årsprojekter</t>
  </si>
  <si>
    <t>2 UR-timer pr. ECTS, dog max 80 UR-timer pr.
studerende - se note. For grupper - se note</t>
  </si>
  <si>
    <t>Anden vejledning</t>
  </si>
  <si>
    <t>Fx apotekophold, erhvervsprojekt, m.m.</t>
  </si>
  <si>
    <t>2 UR-timer pr. ECTS for vejledningsdelen - se note</t>
  </si>
  <si>
    <t>Mundtlig eksamen</t>
  </si>
  <si>
    <t>Klinisk praktisk mundtlig eksamen</t>
  </si>
  <si>
    <t>Mundtlig eksamen på baggrund af synopsis</t>
  </si>
  <si>
    <t>Mundtlig eksamen på baggrund af rapport(er)</t>
  </si>
  <si>
    <t>OSCE</t>
  </si>
  <si>
    <t>100 timer</t>
  </si>
  <si>
    <t>8 timer pr. eksaminator</t>
  </si>
  <si>
    <t>Skriftlig eksamen
(stedprøve)</t>
  </si>
  <si>
    <t>Under 4 timer: 70 timer</t>
  </si>
  <si>
    <t>Eksamen på mindst 4 timer:
100 timer / Integreret 130 timer</t>
  </si>
  <si>
    <t>Mutiple Choice</t>
  </si>
  <si>
    <t>Ingen norm</t>
  </si>
  <si>
    <t>Spot</t>
  </si>
  <si>
    <t>50 timer</t>
  </si>
  <si>
    <t>Skriftlig opgave
(hjemmeopgave)</t>
  </si>
  <si>
    <t>25 timer</t>
  </si>
  <si>
    <t>7 dages opgaver</t>
  </si>
  <si>
    <t>14 dages opgaver</t>
  </si>
  <si>
    <t>24 timers opgaver (= 1 dags eksamen)</t>
  </si>
  <si>
    <t>48 timers opgaver (= 2 dages eksamen)</t>
  </si>
  <si>
    <t>72 timers opgaver (= 3 dages eksamen)</t>
  </si>
  <si>
    <t>Kursusansvar</t>
  </si>
  <si>
    <t>Universitetspædagogikum</t>
  </si>
  <si>
    <t>a) Ansatte VIP, der gennemfører en formel og fakultetsgodkendt pædagogiske videreuddannelse som led i
deres ansættelse, kompenseres for denne videreuddannelse - se note</t>
  </si>
  <si>
    <t>75 UR-timer for introduktionskurset IUP</t>
  </si>
  <si>
    <t>175 for selve Universitetspædagogikum</t>
  </si>
  <si>
    <t>b) Adjunktvejledere/faglige vejledere kompenseres (supervisionsforløb)</t>
  </si>
  <si>
    <t>25 UR-timer</t>
  </si>
  <si>
    <r>
      <rPr>
        <b/>
        <sz val="10"/>
        <rFont val="Calibri"/>
        <family val="2"/>
        <scheme val="minor"/>
      </rPr>
      <t>Bemærkning</t>
    </r>
  </si>
  <si>
    <r>
      <rPr>
        <b/>
        <sz val="10"/>
        <rFont val="Calibri"/>
        <family val="2"/>
        <scheme val="minor"/>
      </rPr>
      <t>Norm</t>
    </r>
  </si>
  <si>
    <r>
      <rPr>
        <b/>
        <sz val="10"/>
        <rFont val="Calibri"/>
        <family val="2"/>
        <scheme val="minor"/>
      </rPr>
      <t>Vejledningsaktiviteter</t>
    </r>
  </si>
  <si>
    <r>
      <rPr>
        <b/>
        <sz val="10"/>
        <rFont val="Calibri"/>
        <family val="2"/>
        <scheme val="minor"/>
      </rPr>
      <t>Eksamen</t>
    </r>
  </si>
  <si>
    <r>
      <rPr>
        <b/>
        <sz val="10"/>
        <rFont val="Calibri"/>
        <family val="2"/>
        <scheme val="minor"/>
      </rPr>
      <t>1. Forberedelse og udarbejdelse af eksamensspørgsmål</t>
    </r>
  </si>
  <si>
    <r>
      <rPr>
        <b/>
        <sz val="10"/>
        <rFont val="Calibri"/>
        <family val="2"/>
        <scheme val="minor"/>
      </rPr>
      <t>Eksamensform</t>
    </r>
  </si>
  <si>
    <r>
      <rPr>
        <b/>
        <sz val="10"/>
        <rFont val="Calibri"/>
        <family val="2"/>
        <scheme val="minor"/>
      </rPr>
      <t>Dækningsområde</t>
    </r>
  </si>
  <si>
    <r>
      <rPr>
        <b/>
        <sz val="10"/>
        <rFont val="Calibri"/>
        <family val="2"/>
        <scheme val="minor"/>
      </rPr>
      <t xml:space="preserve">
</t>
    </r>
    <r>
      <rPr>
        <sz val="10"/>
        <rFont val="Calibri"/>
        <family val="2"/>
        <scheme val="minor"/>
      </rPr>
      <t>Censurnorm * antal studerende</t>
    </r>
  </si>
  <si>
    <r>
      <rPr>
        <b/>
        <sz val="10"/>
        <rFont val="Calibri"/>
        <family val="2"/>
        <scheme val="minor"/>
      </rPr>
      <t xml:space="preserve">
</t>
    </r>
    <r>
      <rPr>
        <sz val="10"/>
        <rFont val="Calibri"/>
        <family val="2"/>
        <scheme val="minor"/>
      </rPr>
      <t>Prøvens varighed * antal studerende</t>
    </r>
  </si>
  <si>
    <r>
      <rPr>
        <b/>
        <sz val="10"/>
        <rFont val="Calibri"/>
        <family val="2"/>
        <scheme val="minor"/>
      </rPr>
      <t xml:space="preserve">Intern / ingen
</t>
    </r>
    <r>
      <rPr>
        <sz val="10"/>
        <rFont val="Calibri"/>
        <family val="2"/>
        <scheme val="minor"/>
      </rPr>
      <t>1 times prøve: 10 min * antal studerende
2 timers prøve: 20 min * antal studerende
3 timers prøve: 30 min * antal studerende
4 timers prøve: 40 min * antal studerende
5 timers prøve: 50 min * antal studerende
6 timers prøve: 60 min * antal studerende</t>
    </r>
  </si>
  <si>
    <r>
      <rPr>
        <b/>
        <sz val="10"/>
        <rFont val="Calibri"/>
        <family val="2"/>
        <scheme val="minor"/>
      </rPr>
      <t>Andre aktiviteter</t>
    </r>
  </si>
  <si>
    <t>Normkataloget:</t>
  </si>
  <si>
    <t>https://kunet.ku.dk/fakultet-og-institut/sund/uddannelseogundervisning/undervisning/normkatalog/Sider/default.aspx</t>
  </si>
  <si>
    <t>Link to the norm catalogue:</t>
  </si>
  <si>
    <t>https://kunet.ku.dk/faculty-and-department/health/StudyProgrammesandTeaching/Teaching/CatalogueofStandards/Pages/default.aspx</t>
  </si>
  <si>
    <t>Fysisk aktivitet og sundhed (F)</t>
  </si>
  <si>
    <t>IN</t>
  </si>
  <si>
    <t>Comments</t>
  </si>
  <si>
    <t>Classroom instruction/E-learning</t>
  </si>
  <si>
    <t>Lectures/E-lectures/OBL-lectures</t>
  </si>
  <si>
    <t>Class instruction/OBL-class instruction</t>
  </si>
  <si>
    <t>Practical training</t>
  </si>
  <si>
    <t>(with or without patient) - typically 6-8 students per class</t>
  </si>
  <si>
    <t>(incl. teaching in a clinic with a patient) - typically 24-30 students per class</t>
  </si>
  <si>
    <t>Attendance</t>
  </si>
  <si>
    <t>Online course</t>
  </si>
  <si>
    <t>Guidet online course with feedback to students</t>
  </si>
  <si>
    <t>2 UR per discussion thread</t>
  </si>
  <si>
    <t>Other teaching</t>
  </si>
  <si>
    <t>New activities</t>
  </si>
  <si>
    <t>Specific assessment - see note.</t>
  </si>
  <si>
    <t>Supervision activities</t>
  </si>
  <si>
    <t>Supervision of bachelor projects, master's theses,
professional master's theses, first-year projects</t>
  </si>
  <si>
    <t>2 teaching-related (UR) hours per ECTS, max. 80
teaching-related (UR) hours per student - see note. For groups - see note.</t>
  </si>
  <si>
    <t>Other supervision</t>
  </si>
  <si>
    <t>e.g. pharmacy internships, internships etc..</t>
  </si>
  <si>
    <t>2 teaching-related (UR) hours per ECTS for supervision part - see note.</t>
  </si>
  <si>
    <t>Exam</t>
  </si>
  <si>
    <t>1. Preparation and writing of exam questions</t>
  </si>
  <si>
    <t>2. Assessment of exams - Type of external/co-examiner &amp; norm</t>
  </si>
  <si>
    <t>Type of exam</t>
  </si>
  <si>
    <t>Areas covered</t>
  </si>
  <si>
    <t>External - see note</t>
  </si>
  <si>
    <t>Internal assessor</t>
  </si>
  <si>
    <t>Oral exam</t>
  </si>
  <si>
    <t>½ hour * number of students</t>
  </si>
  <si>
    <t>Oral exams</t>
  </si>
  <si>
    <t>Clinical practical oral exam</t>
  </si>
  <si>
    <t>Oral exam based on a synopsis</t>
  </si>
  <si>
    <t>Oral exam based on a report/reports</t>
  </si>
  <si>
    <t xml:space="preserve">External examiner norm *
number of students </t>
  </si>
  <si>
    <t>Duration of test * number of students</t>
  </si>
  <si>
    <t>Written exam (invigilated
exam)</t>
  </si>
  <si>
    <t>Less than 4 hours: 70 hours</t>
  </si>
  <si>
    <t>Exam of min. 4 hours: 100
hours / Integrated 130 hours</t>
  </si>
  <si>
    <t>External examiner norm *
number of students</t>
  </si>
  <si>
    <t>100 hours</t>
  </si>
  <si>
    <t>8 hours per examiner</t>
  </si>
  <si>
    <t>1 hour exam: 10 min. * number of students
2 hour exam: 20 min. * number of students
3 hour exam: 30 min. * number of students
4 hour exam: 40 min. * number of students
5 hour exam: 50 min. * number of students
6 hour exam: 60 min. * number of students</t>
  </si>
  <si>
    <t>No norm</t>
  </si>
  <si>
    <t>50 hours</t>
  </si>
  <si>
    <t xml:space="preserve">Written assignment (take- home exam)
</t>
  </si>
  <si>
    <t>25 hours</t>
  </si>
  <si>
    <t>7 day assignments</t>
  </si>
  <si>
    <t>14 day assignments</t>
  </si>
  <si>
    <t>24 hour assignments (= 1 day exam)</t>
  </si>
  <si>
    <t>48 hour assignments (= 2 days exam)</t>
  </si>
  <si>
    <t>72 hour assignments (= 3 days exam)</t>
  </si>
  <si>
    <t xml:space="preserve">Course assignment (writing the problem
statement/approval of individual problem statements for an entire class) </t>
  </si>
  <si>
    <t>1-3 pages: 20 min. * number of students</t>
  </si>
  <si>
    <t>4-6 pages: 30 min. * number of students</t>
  </si>
  <si>
    <t>7-10 pages: 45 min. * number of students</t>
  </si>
  <si>
    <t>11-15 pages: 60 min. * number of students</t>
  </si>
  <si>
    <t>16-20 pages: 75 min. * number of students</t>
  </si>
  <si>
    <t>21-25 pages: 90 min. * number of students</t>
  </si>
  <si>
    <t>Other activities</t>
  </si>
  <si>
    <t>Course responsibility</t>
  </si>
  <si>
    <t>Basic norm of 5 teaching-related (UR) hours per ECTS (min. 20 and max. 60 teaching-related (UR) hours). For extra classes above one, 10% teaching-related (UR) hours
are added - see note.</t>
  </si>
  <si>
    <t>a) Employed Academic Staff, who complete formal further education in pedagogy approved by the faculty as
part of their employment are compensated for this further education - see note.</t>
  </si>
  <si>
    <t>b) Assistant professor supervisors/academic supervisors are compensated (course of supervision)</t>
  </si>
  <si>
    <t>75 teaching-related (UR) hours for the introductory
course IUP</t>
  </si>
  <si>
    <t>175 teaching-related (UR) hours for the actual TLHE
Programme.</t>
  </si>
  <si>
    <t>25 teaching-related (UR) hours</t>
  </si>
  <si>
    <r>
      <t>Teaching and Learning in
Higher Education (TLHE)
Programme
(</t>
    </r>
    <r>
      <rPr>
        <i/>
        <sz val="10"/>
        <rFont val="Calibri"/>
        <family val="2"/>
        <scheme val="minor"/>
      </rPr>
      <t>Universitetspædagogikum</t>
    </r>
    <r>
      <rPr>
        <sz val="10"/>
        <rFont val="Calibri"/>
        <family val="2"/>
        <scheme val="minor"/>
      </rPr>
      <t xml:space="preserve"> )</t>
    </r>
  </si>
  <si>
    <t>New activities not mentioned above are decided by the Vice-Dean for Education on the basis of specific assessment</t>
  </si>
  <si>
    <t>The formula for the calcualtion is: Compensation = 5 UR x ECTS + 5 UR x ECTS x (class - 1) x 0.1 (minimum 20 and maximum 60 UR as the basic norm). Course responsiblity UR is calculated on the basis of the sum of ECTS for both teaching and exam. To yield course-responsibility UR, a course must have a minimum of 2.5 ECTS.</t>
  </si>
  <si>
    <r>
      <rPr>
        <b/>
        <sz val="10"/>
        <rFont val="Calibri"/>
        <family val="2"/>
        <scheme val="minor"/>
      </rPr>
      <t>The norms apply from the spring semester 2014</t>
    </r>
    <r>
      <rPr>
        <sz val="10"/>
        <rFont val="Calibri"/>
        <family val="2"/>
        <scheme val="minor"/>
      </rPr>
      <t xml:space="preserve"> in relation to the calculation and registration of teaching-related activities on bachelor, master's and professional master's programmes for HEALTH's academic staff. In June 2018 norms for e-learning activities have been included.</t>
    </r>
  </si>
  <si>
    <r>
      <t xml:space="preserve">Norms for part-time lecturers, clinical associate professors, </t>
    </r>
    <r>
      <rPr>
        <b/>
        <sz val="10"/>
        <rFont val="Calibri"/>
        <family val="2"/>
        <scheme val="minor"/>
      </rPr>
      <t>senior clinical instructor in dentistry and assistant lectures</t>
    </r>
    <r>
      <rPr>
        <sz val="10"/>
        <rFont val="Calibri"/>
        <family val="2"/>
        <scheme val="minor"/>
      </rPr>
      <t xml:space="preserve"> are set in accordance with the agreements between the Danish Confederation of Professional Associations (AC) and the Danish Ministry of Finance</t>
    </r>
  </si>
  <si>
    <t>NOTES</t>
  </si>
  <si>
    <r>
      <rPr>
        <b/>
        <sz val="10"/>
        <rFont val="Calibri"/>
        <family val="2"/>
        <scheme val="minor"/>
      </rPr>
      <t>Teaching-related (UR) hour</t>
    </r>
    <r>
      <rPr>
        <sz val="10"/>
        <rFont val="Calibri"/>
        <family val="2"/>
        <scheme val="minor"/>
      </rPr>
      <t xml:space="preserve"> : A teaching-related hour corresponding to 60 minutes</t>
    </r>
  </si>
  <si>
    <r>
      <rPr>
        <b/>
        <sz val="10"/>
        <rFont val="Calibri"/>
        <family val="2"/>
        <scheme val="minor"/>
      </rPr>
      <t>The type of teaching must be stated in the course database</t>
    </r>
    <r>
      <rPr>
        <sz val="10"/>
        <rFont val="Calibri"/>
        <family val="2"/>
        <scheme val="minor"/>
      </rPr>
      <t xml:space="preserve"> (lecture, classroom teaching, practice exercise, supervision etc.)</t>
    </r>
  </si>
  <si>
    <r>
      <rPr>
        <b/>
        <sz val="10"/>
        <rFont val="Calibri"/>
        <family val="2"/>
        <scheme val="minor"/>
      </rPr>
      <t>Exam</t>
    </r>
    <r>
      <rPr>
        <sz val="10"/>
        <rFont val="Calibri"/>
        <family val="2"/>
        <scheme val="minor"/>
      </rPr>
      <t>: Combination exams, e.g. a Practical Oral Exam (SPOT) + an oral exam or a multiple choice (MC) exam with essay questions, yield teaching-relation (UR) hours for both parts, i.e. the norm for essay questions is calculated on the basis of the number of pages.</t>
    </r>
  </si>
  <si>
    <r>
      <rPr>
        <b/>
        <sz val="10"/>
        <rFont val="Calibri"/>
        <family val="2"/>
        <scheme val="minor"/>
      </rPr>
      <t>Make-up examns/retakes</t>
    </r>
    <r>
      <rPr>
        <sz val="10"/>
        <rFont val="Calibri"/>
        <family val="2"/>
        <scheme val="minor"/>
      </rPr>
      <t>: Preparation and drawing up of any make-up exams/retakes are included in the norm for the ordinary exam.</t>
    </r>
  </si>
  <si>
    <r>
      <rPr>
        <b/>
        <sz val="10"/>
        <rFont val="Calibri"/>
        <family val="2"/>
        <scheme val="minor"/>
      </rPr>
      <t>External grading</t>
    </r>
    <r>
      <rPr>
        <sz val="10"/>
        <rFont val="Calibri"/>
        <family val="2"/>
        <scheme val="minor"/>
      </rPr>
      <t>: In cases of exams with external grading, the examiner uses the external grading norm Link in Danish Eksterne censornormer: http://sund.ku.dk/uddannelse/censor/.</t>
    </r>
  </si>
  <si>
    <r>
      <rPr>
        <b/>
        <sz val="10"/>
        <rFont val="Calibri"/>
        <family val="2"/>
        <scheme val="minor"/>
      </rPr>
      <t>Courses with course certificates and continuous exams</t>
    </r>
    <r>
      <rPr>
        <sz val="10"/>
        <rFont val="Calibri"/>
        <family val="2"/>
        <scheme val="minor"/>
      </rPr>
      <t>: Exam preparation and assessment are included in the preparation norm for the course; extra teaching-related (UR) hours are not allocated for exam preparation and assessment</t>
    </r>
  </si>
  <si>
    <r>
      <rPr>
        <b/>
        <sz val="10"/>
        <rFont val="Calibri"/>
        <family val="2"/>
        <scheme val="minor"/>
      </rPr>
      <t>Supervision</t>
    </r>
    <r>
      <rPr>
        <sz val="10"/>
        <rFont val="Calibri"/>
        <family val="2"/>
        <scheme val="minor"/>
      </rPr>
      <t>: A course of supervision yields a maximum of 80 teaching-related (UR) hours, i.e. 80 teaching-relatied (UR) hours, and not 90, are allocated to a 45 ECTS master's thesis; 80 teaching-related (UR) hours, and not 120, are allocated to a 60 ECTS master's thesis.</t>
    </r>
  </si>
  <si>
    <r>
      <rPr>
        <b/>
        <sz val="10"/>
        <rFont val="Calibri"/>
        <family val="2"/>
        <scheme val="minor"/>
      </rPr>
      <t>Supervision of groups</t>
    </r>
    <r>
      <rPr>
        <sz val="10"/>
        <rFont val="Calibri"/>
        <family val="2"/>
        <scheme val="minor"/>
      </rPr>
      <t>: 15 % is added in the case of groups of two students and 30 % in the case of groups of three or more students</t>
    </r>
  </si>
  <si>
    <r>
      <rPr>
        <b/>
        <sz val="10"/>
        <rFont val="Calibri"/>
        <family val="2"/>
        <scheme val="minor"/>
      </rPr>
      <t>Other supervision</t>
    </r>
    <r>
      <rPr>
        <sz val="10"/>
        <rFont val="Calibri"/>
        <family val="2"/>
        <scheme val="minor"/>
      </rPr>
      <t>: The actual supervision part is remunerated with 2 teaching-related (UR) hours per ECTS, i.e. the supervision share of the total sum of ECTS must be clearly stated in the course description in the course database as only this part is remunerated with 2 teaching-related (UR) hours for each ECTS of supervision. Example: A 15 ECTS course has e.g. 2.5 ECTS of supervision - the remainder consists of the students' preparation and work and the exam. In this case, 2 teaching-relation (UR) hours x 2.5 ECTS = a total of 5 teaching-related (UR) hours.</t>
    </r>
  </si>
  <si>
    <r>
      <rPr>
        <b/>
        <sz val="10"/>
        <rFont val="Calibri"/>
        <family val="2"/>
        <scheme val="minor"/>
      </rPr>
      <t>Assessment of bachelor projects, master's theses, professional master's theses and other project supervision</t>
    </r>
    <r>
      <rPr>
        <sz val="10"/>
        <rFont val="Calibri"/>
        <family val="2"/>
        <scheme val="minor"/>
      </rPr>
      <t>: The assessment is included in the supervision norm, and extra teaching-related (UR) hours are not allocated for the assessment.</t>
    </r>
  </si>
  <si>
    <r>
      <rPr>
        <b/>
        <sz val="10"/>
        <rFont val="Calibri"/>
        <family val="2"/>
        <scheme val="minor"/>
      </rPr>
      <t>Course responsibiliy</t>
    </r>
    <r>
      <rPr>
        <sz val="10"/>
        <rFont val="Calibri"/>
        <family val="2"/>
        <scheme val="minor"/>
      </rPr>
      <t xml:space="preserve"> is compensated using a general basic norm of 5 teaching-related (UR) hours per ECTS of the course/exam (minimum 20 and maximum 60 teaching-related (UR) hours). Every extra class (defined as a class in the case of ”classroom teaching" or "practice exercise teaching”) over one is allocated an extra 10% teaching-related (UR) hours.</t>
    </r>
  </si>
  <si>
    <r>
      <rPr>
        <b/>
        <sz val="10"/>
        <rFont val="Calibri"/>
        <family val="2"/>
        <scheme val="minor"/>
      </rPr>
      <t>Teaching and Learning in Higher Education Programme (TLHE) (universitetspædagogikum )</t>
    </r>
    <r>
      <rPr>
        <sz val="10"/>
        <rFont val="Calibri"/>
        <family val="2"/>
        <scheme val="minor"/>
      </rPr>
      <t>: Post-docs are not compensated for participation in Introductory University Pedagogy (IUP) and TLHE (universitetspædagogikum).</t>
    </r>
  </si>
  <si>
    <r>
      <rPr>
        <b/>
        <sz val="10"/>
        <rFont val="Calibri"/>
        <family val="2"/>
        <scheme val="minor"/>
      </rPr>
      <t>Study boards</t>
    </r>
    <r>
      <rPr>
        <sz val="10"/>
        <rFont val="Calibri"/>
        <family val="2"/>
        <scheme val="minor"/>
      </rPr>
      <t>: Workload reductions for heads of study/heads of study boards are administered by the finance department at HEALTH.</t>
    </r>
  </si>
  <si>
    <r>
      <rPr>
        <b/>
        <sz val="10"/>
        <rFont val="Calibri"/>
        <family val="2"/>
        <scheme val="minor"/>
      </rPr>
      <t>E-learning activities</t>
    </r>
    <r>
      <rPr>
        <sz val="10"/>
        <rFont val="Calibri"/>
        <family val="2"/>
        <scheme val="minor"/>
      </rPr>
      <t xml:space="preserve"> as e.g. games are categorised as pure online-course/not monitored courses, and do not normally release UR-hours.</t>
    </r>
  </si>
  <si>
    <t>Online-kursus</t>
  </si>
  <si>
    <t>Monitoreret online-kursus m feedback til studerende</t>
  </si>
  <si>
    <t>2 UR pr. Diskussionstråd</t>
  </si>
  <si>
    <t>Nicole Schmitt</t>
  </si>
  <si>
    <t>Study</t>
  </si>
  <si>
    <t>Level</t>
  </si>
  <si>
    <t>kECTS</t>
  </si>
  <si>
    <t>eECTS</t>
  </si>
  <si>
    <t>∑ECTS</t>
  </si>
  <si>
    <t>Dept</t>
  </si>
  <si>
    <t>Prep</t>
  </si>
  <si>
    <t>Assessment</t>
  </si>
  <si>
    <t>Oral</t>
  </si>
  <si>
    <t>Writ/Oral</t>
  </si>
  <si>
    <t>Integr</t>
  </si>
  <si>
    <t>No exam</t>
  </si>
  <si>
    <t>MolBio</t>
  </si>
  <si>
    <t>HumBio</t>
  </si>
  <si>
    <t>Farm</t>
  </si>
  <si>
    <t>Report</t>
  </si>
  <si>
    <t>WR-hw</t>
  </si>
  <si>
    <t>ACTIVITY TABLE</t>
  </si>
  <si>
    <t>Your first name(s)</t>
  </si>
  <si>
    <t>Course #</t>
  </si>
  <si>
    <t>Exam #</t>
  </si>
  <si>
    <t>SMEB12001E</t>
  </si>
  <si>
    <t>SMEB12006E</t>
  </si>
  <si>
    <t>SHUA13041U</t>
  </si>
  <si>
    <t>SHUA13041E</t>
  </si>
  <si>
    <t>SKBS20002E</t>
  </si>
  <si>
    <t>SMTB20002E</t>
  </si>
  <si>
    <t>Celle- væv kvant biol sygd modell  (C)</t>
  </si>
  <si>
    <t>SMEB12008E</t>
  </si>
  <si>
    <t>SMOB15002E</t>
  </si>
  <si>
    <t>SHUA13042E</t>
  </si>
  <si>
    <t>IN,ICMM,CPC</t>
  </si>
  <si>
    <t>SMOK14002U</t>
  </si>
  <si>
    <t>SMOB15004E</t>
  </si>
  <si>
    <t>SODB16021E</t>
  </si>
  <si>
    <t>SMEB12004E</t>
  </si>
  <si>
    <t>SMEB12001U</t>
  </si>
  <si>
    <t>SKBS20001U</t>
  </si>
  <si>
    <t>SMTB20001U</t>
  </si>
  <si>
    <t>SMEB12008U</t>
  </si>
  <si>
    <t>SMEB12004U</t>
  </si>
  <si>
    <t>SMOB15004U</t>
  </si>
  <si>
    <t>SODB16021U</t>
  </si>
  <si>
    <t>SMEB12006U</t>
  </si>
  <si>
    <t>SMOB15002U</t>
  </si>
  <si>
    <t>SODB16031U</t>
  </si>
  <si>
    <t>STVK16001U</t>
  </si>
  <si>
    <t>SMOB15001U</t>
  </si>
  <si>
    <t>SMOK14003U</t>
  </si>
  <si>
    <t>SMTB15002U</t>
  </si>
  <si>
    <t>SMTB17001U</t>
  </si>
  <si>
    <t>SMTK20001U</t>
  </si>
  <si>
    <t>SMTK20002E</t>
  </si>
  <si>
    <t>SKBS17006E</t>
  </si>
  <si>
    <t>SKBS17007E</t>
  </si>
  <si>
    <t>SKBS17008E</t>
  </si>
  <si>
    <t>SMEB12033E</t>
  </si>
  <si>
    <t>SCIA10010U</t>
  </si>
  <si>
    <t>SCIA10010E</t>
  </si>
  <si>
    <t>Bach-proj-med-tek (C; 15 ECTS)</t>
  </si>
  <si>
    <t>Bach-proj-med-tek (C; 17,5 ECTS)</t>
  </si>
  <si>
    <t>Bach-proj-med-tek (C; 20 ECTS)</t>
  </si>
  <si>
    <t>Bach-proj-kvant-biol-syg-mod (C; 15 ECTS)</t>
  </si>
  <si>
    <t>Bach-proj-kvant-biol-syg-mod (C; 17,5 ECTS)</t>
  </si>
  <si>
    <t>Bach-proj-kvant-biol-syg-mod (C; 20 ECTS)</t>
  </si>
  <si>
    <t>SMTB20009E</t>
  </si>
  <si>
    <t>SCIA10009U</t>
  </si>
  <si>
    <t>SCIA10009E</t>
  </si>
  <si>
    <t>SODB16011U</t>
  </si>
  <si>
    <t>SMTB20003U</t>
  </si>
  <si>
    <t>SMTB20007U</t>
  </si>
  <si>
    <t>SMTB20007E</t>
  </si>
  <si>
    <t>SMEB12026E</t>
  </si>
  <si>
    <t>SMEB12027E</t>
  </si>
  <si>
    <t>SODB16041U</t>
  </si>
  <si>
    <t>SODB16041E</t>
  </si>
  <si>
    <t>SMEA21002U</t>
  </si>
  <si>
    <t>SMEA21002E</t>
  </si>
  <si>
    <t>SHUA13055U</t>
  </si>
  <si>
    <t>SHUA13055E</t>
  </si>
  <si>
    <t>Human anatomy and systems physiology (H)</t>
  </si>
  <si>
    <t>SHUA13004U</t>
  </si>
  <si>
    <t>SHUA13004E</t>
  </si>
  <si>
    <t>SHUA13049U</t>
  </si>
  <si>
    <t>SHUA13049E</t>
  </si>
  <si>
    <t>SMEB12012U</t>
  </si>
  <si>
    <t>SMEB12013U</t>
  </si>
  <si>
    <t>SMEB12016U</t>
  </si>
  <si>
    <t>SMEB12035U</t>
  </si>
  <si>
    <t>SMOA09001U</t>
  </si>
  <si>
    <t>SFOB20001U</t>
  </si>
  <si>
    <t>SFOB20001E</t>
  </si>
  <si>
    <t>SMTB17001E</t>
  </si>
  <si>
    <t>Humanbiologi, sundhed informatik (I)</t>
  </si>
  <si>
    <t>SITB17002U</t>
  </si>
  <si>
    <t>SMEB12030E</t>
  </si>
  <si>
    <t>BMI+2</t>
  </si>
  <si>
    <t>SMEB12036E</t>
  </si>
  <si>
    <t>Integr-eksam-nyrer-endokr-blod (M)</t>
  </si>
  <si>
    <t>SMEA15052E</t>
  </si>
  <si>
    <t>SMEA20061E</t>
  </si>
  <si>
    <t>Kandidatspeciale (M; 22,5 ECTS)</t>
  </si>
  <si>
    <t>Kandidatspeciale (M; 10 ECTS)</t>
  </si>
  <si>
    <t>SMEB12022U</t>
  </si>
  <si>
    <t>Intro til sundhed og informatik (I)</t>
  </si>
  <si>
    <t>SITB19001U</t>
  </si>
  <si>
    <t>SHUA13012U</t>
  </si>
  <si>
    <t>SHUA13012E</t>
  </si>
  <si>
    <t>SMTK12041E</t>
  </si>
  <si>
    <t>Kandidatspeciale (C; 32,5 ECTS)</t>
  </si>
  <si>
    <t>Kandidatspeciale (C; 30 ECTS)</t>
  </si>
  <si>
    <t>SMTK15001U</t>
  </si>
  <si>
    <t>SMTK15001E</t>
  </si>
  <si>
    <t>Kandidatspeciale (C; 35 ECTS)</t>
  </si>
  <si>
    <t>SMTK12042E</t>
  </si>
  <si>
    <t>Kand.sp., kvant biol sygd mod (C; 30 ECTS)</t>
  </si>
  <si>
    <t>SKBK19001E</t>
  </si>
  <si>
    <t>SKBK19002E</t>
  </si>
  <si>
    <t>Kand.sp., kvant biol sygd mod (C; 32.5 ECTS)</t>
  </si>
  <si>
    <t>Kand.sp., kvant biol sygd mod (C; 35 ECTS)</t>
  </si>
  <si>
    <t>SKBK19003E</t>
  </si>
  <si>
    <t>SODB16037U</t>
  </si>
  <si>
    <t>SODB16037E</t>
  </si>
  <si>
    <t>SMTK12011U</t>
  </si>
  <si>
    <t>SMTK12011E</t>
  </si>
  <si>
    <t>SFOB20005U</t>
  </si>
  <si>
    <t>SFOB20005E</t>
  </si>
  <si>
    <t>SMTB15002E</t>
  </si>
  <si>
    <t>SITB15002U</t>
  </si>
  <si>
    <t>Translational Pharmacology</t>
  </si>
  <si>
    <t>All</t>
  </si>
  <si>
    <t>SHUA13057U</t>
  </si>
  <si>
    <t>SHUA13057E</t>
  </si>
  <si>
    <t>Forberedende kursus i bachelorprojekt</t>
  </si>
  <si>
    <t>SMEB12037U</t>
  </si>
  <si>
    <t>SMEB12021U?</t>
  </si>
  <si>
    <t>BRIC?</t>
  </si>
  <si>
    <t>SHUA13053U</t>
  </si>
  <si>
    <t>SHUA13053E</t>
  </si>
  <si>
    <t>SHUA13038U</t>
  </si>
  <si>
    <t>SHUA13038E</t>
  </si>
  <si>
    <t>Biomech-Neural-Contrl-Hum-Movem (C)</t>
  </si>
  <si>
    <t>SMTK21001U</t>
  </si>
  <si>
    <t>SMTK21001E</t>
  </si>
  <si>
    <t>SPECIALENG</t>
  </si>
  <si>
    <t>SMOB14001U</t>
  </si>
  <si>
    <t>Computational Neuroscience</t>
  </si>
  <si>
    <t>SNEU20007U</t>
  </si>
  <si>
    <t>SNEU20007E</t>
  </si>
  <si>
    <t>SHUA13045U</t>
  </si>
  <si>
    <t>SHUA13045E</t>
  </si>
  <si>
    <t>Drug discov  &amp; develop in neurosci (H)</t>
  </si>
  <si>
    <t>SNEU20006U</t>
  </si>
  <si>
    <t>SNEU20006E</t>
  </si>
  <si>
    <t>SMEB12009E</t>
  </si>
  <si>
    <t>Experimental design in Neuroscience (H)</t>
  </si>
  <si>
    <t>SNEU20002U</t>
  </si>
  <si>
    <t>SNEU20002+3E</t>
  </si>
  <si>
    <t>SODB16054U</t>
  </si>
  <si>
    <t>SODB16054E</t>
  </si>
  <si>
    <t>Implem forskn.bas viden neurorehab org forandring</t>
  </si>
  <si>
    <t>SNRM20004U</t>
  </si>
  <si>
    <t>SMEB12009U</t>
  </si>
  <si>
    <t>SMEB12005U</t>
  </si>
  <si>
    <t>SMOB15003U</t>
  </si>
  <si>
    <t>SODB16022U</t>
  </si>
  <si>
    <t>Masterprojekt - Neurorehabilitering</t>
  </si>
  <si>
    <t>SNRM20007E</t>
  </si>
  <si>
    <t>Masterafhandling i neurovidenskab (H)</t>
  </si>
  <si>
    <t>SNEU20009U</t>
  </si>
  <si>
    <t>SNEU20009E</t>
  </si>
  <si>
    <t>NeuHab</t>
  </si>
  <si>
    <t>Metoder-teori-forskn-neurorehab</t>
  </si>
  <si>
    <t>SNRM20001U</t>
  </si>
  <si>
    <t>NBIK10017U</t>
  </si>
  <si>
    <t>SODB16060U</t>
  </si>
  <si>
    <t>SODB16060E</t>
  </si>
  <si>
    <t>SODB16042U</t>
  </si>
  <si>
    <t>SODB16042E</t>
  </si>
  <si>
    <t>SODB16032U</t>
  </si>
  <si>
    <t>SODB16032E</t>
  </si>
  <si>
    <t>ICMM/IN</t>
  </si>
  <si>
    <t>SHUA13043U</t>
  </si>
  <si>
    <t>SHUA13043E</t>
  </si>
  <si>
    <t>SMEB12025U</t>
  </si>
  <si>
    <t>Medical Use of Radiation (C)</t>
  </si>
  <si>
    <t>SMTK20003U</t>
  </si>
  <si>
    <t>SMTK20003E</t>
  </si>
  <si>
    <t>SMEA15012U</t>
  </si>
  <si>
    <t>Kandidatspeciale (M; 30 ECTS)</t>
  </si>
  <si>
    <t>SSUA15041U</t>
  </si>
  <si>
    <t>SSUA15041E</t>
  </si>
  <si>
    <t>SMEA15041U</t>
  </si>
  <si>
    <t>SMEA15033U</t>
  </si>
  <si>
    <t>SMEA15025E</t>
  </si>
  <si>
    <t>SMEB12023U</t>
  </si>
  <si>
    <t>SMEB12031E</t>
  </si>
  <si>
    <t>SMEB12002U</t>
  </si>
  <si>
    <t>SMEB12002E</t>
  </si>
  <si>
    <t>SMEB12007U</t>
  </si>
  <si>
    <t>SMEB12020U</t>
  </si>
  <si>
    <t>Andet</t>
  </si>
  <si>
    <t>SMEB12026U</t>
  </si>
  <si>
    <t>SFOA09007E</t>
  </si>
  <si>
    <t>SSUA15012U</t>
  </si>
  <si>
    <t>SSUA15012E</t>
  </si>
  <si>
    <t>SMEB12003U</t>
  </si>
  <si>
    <t>SMTB20004E</t>
  </si>
  <si>
    <t>Neuroscience I - Cells and circuits (N)</t>
  </si>
  <si>
    <t>NeuSci</t>
  </si>
  <si>
    <t>SNEU21001U</t>
  </si>
  <si>
    <t>SNEU21002E</t>
  </si>
  <si>
    <t>Experimental design in Neuroscience (N)</t>
  </si>
  <si>
    <t>SNEU20003E</t>
  </si>
  <si>
    <t>SNEU20002E</t>
  </si>
  <si>
    <t>Neuroscience II: Higher brain function (N)</t>
  </si>
  <si>
    <t>SNEU20004U</t>
  </si>
  <si>
    <t>SNEU20005E</t>
  </si>
  <si>
    <t>Drug discov develop in Neuroscience (N)</t>
  </si>
  <si>
    <t>Computational Neuroscience (N)</t>
  </si>
  <si>
    <t>Novel techn  lab animal behav neurosci (N)</t>
  </si>
  <si>
    <t>SNEU20008U</t>
  </si>
  <si>
    <t>SNEU20008E</t>
  </si>
  <si>
    <t>Master's Thesis in Neuroscience (N)</t>
  </si>
  <si>
    <t>Thes/Oral</t>
  </si>
  <si>
    <t>Organ strukt &amp; funkt rask syg krop (O)</t>
  </si>
  <si>
    <t>SIIK16007U</t>
  </si>
  <si>
    <t>SIIK16007E</t>
  </si>
  <si>
    <t>Thesis Immunology and Inflammation (H)</t>
  </si>
  <si>
    <t>Molecular pathology (B)</t>
  </si>
  <si>
    <t>SMOK15001U</t>
  </si>
  <si>
    <t>BRIC</t>
  </si>
  <si>
    <t>Odont-HumBio-MolBio-NeuroScI</t>
  </si>
  <si>
    <t>SGBB20008E</t>
  </si>
  <si>
    <t>Globe</t>
  </si>
  <si>
    <t>Bachelorprojekt (I)</t>
  </si>
  <si>
    <t>Bachelorprojekt (B)</t>
  </si>
  <si>
    <t>(version 5.4)</t>
  </si>
  <si>
    <t>Choose and fill out the form:</t>
  </si>
  <si>
    <r>
      <t xml:space="preserve">Spring= </t>
    </r>
    <r>
      <rPr>
        <b/>
        <sz val="11"/>
        <color rgb="FFFF0000"/>
        <rFont val="Calibri"/>
        <family val="2"/>
        <scheme val="minor"/>
      </rPr>
      <t xml:space="preserve">1  </t>
    </r>
    <r>
      <rPr>
        <sz val="11"/>
        <rFont val="Calibri"/>
        <family val="2"/>
        <scheme val="minor"/>
      </rPr>
      <t xml:space="preserve">OR  Autumn= </t>
    </r>
    <r>
      <rPr>
        <b/>
        <sz val="11"/>
        <color rgb="FFFF0000"/>
        <rFont val="Calibri"/>
        <family val="2"/>
        <scheme val="minor"/>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</si>
</sst>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
    <numFmt numFmtId="166" formatCode="#,##0.0;#,##0.0"/>
    <numFmt numFmtId="167" formatCode="###0.0;###0.0"/>
  </numFmts>
  <fonts count="27" x14ac:knownFonts="1">
    <font>
      <sz val="10"/>
      <name val="Times New Roman"/>
    </font>
    <font>
      <sz val="8"/>
      <color indexed="81"/>
      <name val="Tahoma"/>
      <family val="2"/>
    </font>
    <font>
      <b/>
      <sz val="8"/>
      <color indexed="81"/>
      <name val="Tahoma"/>
      <family val="2"/>
    </font>
    <font>
      <u/>
      <sz val="10"/>
      <color theme="10"/>
      <name val="Times New Roman"/>
      <family val="1"/>
    </font>
    <font>
      <sz val="9"/>
      <color indexed="81"/>
      <name val="Tahoma"/>
      <family val="2"/>
    </font>
    <font>
      <b/>
      <sz val="9"/>
      <color indexed="81"/>
      <name val="Tahoma"/>
      <family val="2"/>
    </font>
    <font>
      <b/>
      <sz val="11"/>
      <name val="Calibri"/>
      <family val="2"/>
      <scheme val="minor"/>
    </font>
    <font>
      <sz val="11"/>
      <color rgb="FFFF0000"/>
      <name val="Calibri"/>
      <family val="2"/>
      <scheme val="minor"/>
    </font>
    <font>
      <sz val="11"/>
      <name val="Calibri"/>
      <family val="2"/>
      <scheme val="minor"/>
    </font>
    <font>
      <b/>
      <sz val="11"/>
      <color rgb="FFFF0000"/>
      <name val="Calibri"/>
      <family val="2"/>
      <scheme val="minor"/>
    </font>
    <font>
      <u/>
      <sz val="11"/>
      <color theme="10"/>
      <name val="Calibri"/>
      <family val="2"/>
      <scheme val="minor"/>
    </font>
    <font>
      <sz val="8"/>
      <name val="Calibri"/>
      <family val="2"/>
      <scheme val="minor"/>
    </font>
    <font>
      <sz val="9"/>
      <name val="Calibri"/>
      <family val="2"/>
      <scheme val="minor"/>
    </font>
    <font>
      <b/>
      <sz val="11"/>
      <name val="Calibri"/>
      <family val="2"/>
    </font>
    <font>
      <sz val="11"/>
      <name val="Calibri"/>
      <family val="2"/>
    </font>
    <font>
      <sz val="10"/>
      <name val="Calibri"/>
      <family val="2"/>
      <scheme val="minor"/>
    </font>
    <font>
      <sz val="10"/>
      <color rgb="FF000000"/>
      <name val="Times New Roman"/>
      <family val="1"/>
    </font>
    <font>
      <b/>
      <sz val="14"/>
      <color rgb="FFFF0000"/>
      <name val="Calibri"/>
      <family val="2"/>
      <scheme val="minor"/>
    </font>
    <font>
      <b/>
      <sz val="10"/>
      <name val="Calibri"/>
      <family val="2"/>
      <scheme val="minor"/>
    </font>
    <font>
      <sz val="10"/>
      <color rgb="FF000000"/>
      <name val="Calibri"/>
      <family val="2"/>
      <scheme val="minor"/>
    </font>
    <font>
      <u/>
      <sz val="10"/>
      <color theme="10"/>
      <name val="Calibri"/>
      <family val="2"/>
      <scheme val="minor"/>
    </font>
    <font>
      <i/>
      <sz val="10"/>
      <name val="Calibri"/>
      <family val="2"/>
      <scheme val="minor"/>
    </font>
    <font>
      <sz val="10"/>
      <name val="Times New Roman"/>
      <family val="1"/>
    </font>
    <font>
      <sz val="10"/>
      <color rgb="FFFF0000"/>
      <name val="Times New Roman"/>
      <family val="1"/>
    </font>
    <font>
      <sz val="11"/>
      <name val="Times New Roman"/>
      <family val="1"/>
    </font>
    <font>
      <u/>
      <sz val="11"/>
      <color theme="10"/>
      <name val="Times New Roman"/>
      <family val="1"/>
    </font>
    <font>
      <b/>
      <sz val="18"/>
      <color rgb="FFFF0000"/>
      <name val="Calibri"/>
      <family val="2"/>
      <scheme val="minor"/>
    </font>
  </fonts>
  <fills count="22">
    <fill>
      <patternFill patternType="none"/>
    </fill>
    <fill>
      <patternFill patternType="gray125"/>
    </fill>
    <fill>
      <patternFill patternType="solid">
        <fgColor theme="4" tint="0.79998168889431442"/>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rgb="FF92D050"/>
      </patternFill>
    </fill>
    <fill>
      <patternFill patternType="solid">
        <fgColor rgb="FFC0EE96"/>
      </patternFill>
    </fill>
    <fill>
      <patternFill patternType="solid">
        <fgColor rgb="FF9CBCD1"/>
      </patternFill>
    </fill>
    <fill>
      <patternFill patternType="solid">
        <fgColor rgb="FFBDD2E1"/>
      </patternFill>
    </fill>
    <fill>
      <patternFill patternType="solid">
        <fgColor rgb="FFFFC000"/>
      </patternFill>
    </fill>
    <fill>
      <patternFill patternType="solid">
        <fgColor rgb="FFFFFF99"/>
      </patternFill>
    </fill>
    <fill>
      <patternFill patternType="solid">
        <fgColor rgb="FFFFCC66"/>
      </patternFill>
    </fill>
    <fill>
      <patternFill patternType="solid">
        <fgColor rgb="FF84BBC1"/>
      </patternFill>
    </fill>
    <fill>
      <patternFill patternType="solid">
        <fgColor rgb="FFD6E9EB"/>
      </patternFill>
    </fill>
    <fill>
      <patternFill patternType="solid">
        <fgColor theme="6" tint="0.79998168889431442"/>
        <bgColor indexed="64"/>
      </patternFill>
    </fill>
    <fill>
      <patternFill patternType="solid">
        <fgColor theme="9" tint="0.79998168889431442"/>
        <bgColor indexed="64"/>
      </patternFill>
    </fill>
    <fill>
      <patternFill patternType="solid">
        <fgColor theme="9" tint="0.59999389629810485"/>
        <bgColor indexed="64"/>
      </patternFill>
    </fill>
  </fills>
  <borders count="35">
    <border>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right/>
      <top style="thin">
        <color indexed="64"/>
      </top>
      <bottom/>
      <diagonal/>
    </border>
    <border>
      <left/>
      <right/>
      <top/>
      <bottom style="double">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rgb="FF000000"/>
      </top>
      <bottom/>
      <diagonal/>
    </border>
    <border>
      <left/>
      <right/>
      <top/>
      <bottom style="thin">
        <color rgb="FF000000"/>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style="thick">
        <color rgb="FFFF0000"/>
      </left>
      <right/>
      <top/>
      <bottom/>
      <diagonal/>
    </border>
  </borders>
  <cellStyleXfs count="3">
    <xf numFmtId="0" fontId="0" fillId="0" borderId="0"/>
    <xf numFmtId="0" fontId="3" fillId="0" borderId="0" applyNumberFormat="0" applyFill="0" applyBorder="0" applyAlignment="0" applyProtection="0">
      <alignment vertical="top"/>
      <protection locked="0"/>
    </xf>
    <xf numFmtId="0" fontId="16" fillId="0" borderId="0"/>
  </cellStyleXfs>
  <cellXfs count="242">
    <xf numFmtId="0" fontId="0" fillId="0" borderId="0" xfId="0"/>
    <xf numFmtId="0" fontId="8" fillId="0" borderId="0" xfId="0" applyFont="1"/>
    <xf numFmtId="0" fontId="8" fillId="0" borderId="3" xfId="0" applyFont="1" applyBorder="1"/>
    <xf numFmtId="0" fontId="8" fillId="0" borderId="4" xfId="0" applyFont="1" applyBorder="1"/>
    <xf numFmtId="0" fontId="8" fillId="0" borderId="0" xfId="0" applyFont="1" applyProtection="1">
      <protection locked="0"/>
    </xf>
    <xf numFmtId="0" fontId="9" fillId="0" borderId="0" xfId="0" applyFont="1" applyAlignment="1">
      <alignment horizontal="left" vertical="center"/>
    </xf>
    <xf numFmtId="0" fontId="8" fillId="0" borderId="0" xfId="0" applyFont="1" applyAlignment="1">
      <alignment vertical="center"/>
    </xf>
    <xf numFmtId="164" fontId="8" fillId="0" borderId="0" xfId="0" applyNumberFormat="1" applyFont="1" applyAlignment="1">
      <alignment vertical="center"/>
    </xf>
    <xf numFmtId="0" fontId="8"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0" xfId="0" applyFont="1" applyAlignment="1">
      <alignment horizontal="left" vertical="center"/>
    </xf>
    <xf numFmtId="0" fontId="8" fillId="0" borderId="2" xfId="0" applyFont="1" applyBorder="1" applyAlignment="1">
      <alignment vertical="center"/>
    </xf>
    <xf numFmtId="164" fontId="7" fillId="0" borderId="0" xfId="0" applyNumberFormat="1" applyFont="1" applyAlignment="1">
      <alignment vertical="center"/>
    </xf>
    <xf numFmtId="0" fontId="6" fillId="0" borderId="0" xfId="0" applyFont="1" applyAlignment="1">
      <alignment vertical="center"/>
    </xf>
    <xf numFmtId="165" fontId="8" fillId="0" borderId="0" xfId="0" applyNumberFormat="1" applyFont="1" applyAlignment="1">
      <alignment vertical="center"/>
    </xf>
    <xf numFmtId="1" fontId="8" fillId="0" borderId="0" xfId="0" applyNumberFormat="1" applyFont="1" applyAlignment="1">
      <alignment horizontal="center" vertical="center"/>
    </xf>
    <xf numFmtId="0" fontId="8" fillId="0" borderId="0" xfId="0" applyFont="1" applyAlignment="1" applyProtection="1">
      <alignment horizontal="center" vertical="center"/>
      <protection locked="0"/>
    </xf>
    <xf numFmtId="164" fontId="6" fillId="0" borderId="0" xfId="0" applyNumberFormat="1" applyFont="1" applyAlignment="1">
      <alignment vertical="center"/>
    </xf>
    <xf numFmtId="0" fontId="9" fillId="0" borderId="0" xfId="0" applyFont="1" applyAlignment="1">
      <alignment vertical="center"/>
    </xf>
    <xf numFmtId="1" fontId="8" fillId="0" borderId="0" xfId="0" applyNumberFormat="1" applyFont="1" applyAlignment="1">
      <alignment vertical="center"/>
    </xf>
    <xf numFmtId="14" fontId="9" fillId="0" borderId="0" xfId="0" applyNumberFormat="1" applyFont="1" applyAlignment="1" applyProtection="1">
      <alignment vertical="center"/>
      <protection hidden="1"/>
    </xf>
    <xf numFmtId="0" fontId="6" fillId="0" borderId="0" xfId="0" applyFont="1" applyAlignment="1">
      <alignment horizontal="center" vertical="center"/>
    </xf>
    <xf numFmtId="0" fontId="8" fillId="0" borderId="1" xfId="0" applyFont="1" applyBorder="1"/>
    <xf numFmtId="0" fontId="7" fillId="0" borderId="0" xfId="0" applyFont="1" applyAlignment="1">
      <alignment vertical="center"/>
    </xf>
    <xf numFmtId="0" fontId="7" fillId="0" borderId="0" xfId="0" applyFont="1"/>
    <xf numFmtId="0" fontId="6" fillId="0" borderId="8" xfId="0" applyFont="1" applyBorder="1"/>
    <xf numFmtId="164" fontId="8" fillId="0" borderId="0" xfId="0" applyNumberFormat="1" applyFont="1"/>
    <xf numFmtId="0" fontId="6" fillId="0" borderId="0" xfId="0" applyFont="1"/>
    <xf numFmtId="0" fontId="13" fillId="0" borderId="8" xfId="0" applyFont="1" applyBorder="1" applyAlignment="1">
      <alignment horizontal="center"/>
    </xf>
    <xf numFmtId="164" fontId="7" fillId="0" borderId="0" xfId="0" applyNumberFormat="1" applyFont="1"/>
    <xf numFmtId="0" fontId="15" fillId="0" borderId="0" xfId="0" applyFont="1"/>
    <xf numFmtId="0" fontId="7" fillId="0" borderId="0" xfId="0" applyFont="1" applyAlignment="1">
      <alignment horizontal="left" vertical="center"/>
    </xf>
    <xf numFmtId="0" fontId="8" fillId="4" borderId="0" xfId="0" applyFont="1" applyFill="1" applyAlignment="1" applyProtection="1">
      <alignment horizontal="center" vertical="center"/>
      <protection locked="0"/>
    </xf>
    <xf numFmtId="0" fontId="3" fillId="0" borderId="0" xfId="1" applyFill="1" applyBorder="1" applyAlignment="1" applyProtection="1">
      <alignment vertical="center"/>
    </xf>
    <xf numFmtId="0" fontId="8" fillId="5" borderId="0" xfId="0" applyFont="1" applyFill="1" applyAlignment="1">
      <alignment vertical="center"/>
    </xf>
    <xf numFmtId="0" fontId="8" fillId="3" borderId="0" xfId="0" applyFont="1" applyFill="1" applyAlignment="1">
      <alignment vertical="center"/>
    </xf>
    <xf numFmtId="164" fontId="7" fillId="3" borderId="0" xfId="0" applyNumberFormat="1" applyFont="1" applyFill="1" applyAlignment="1">
      <alignment vertical="center"/>
    </xf>
    <xf numFmtId="164" fontId="8" fillId="3" borderId="0" xfId="0" applyNumberFormat="1" applyFont="1" applyFill="1" applyAlignment="1">
      <alignment vertical="center"/>
    </xf>
    <xf numFmtId="165" fontId="8" fillId="3" borderId="0" xfId="0" applyNumberFormat="1" applyFont="1" applyFill="1" applyAlignment="1">
      <alignment vertical="center"/>
    </xf>
    <xf numFmtId="0" fontId="8" fillId="6" borderId="0" xfId="0" applyFont="1" applyFill="1" applyAlignment="1">
      <alignment vertical="center"/>
    </xf>
    <xf numFmtId="164" fontId="8" fillId="6" borderId="0" xfId="0" applyNumberFormat="1" applyFont="1" applyFill="1" applyAlignment="1">
      <alignment vertical="center"/>
    </xf>
    <xf numFmtId="0" fontId="8" fillId="7" borderId="0" xfId="0" applyFont="1" applyFill="1" applyAlignment="1">
      <alignment vertical="center"/>
    </xf>
    <xf numFmtId="164" fontId="8" fillId="7" borderId="0" xfId="0" applyNumberFormat="1" applyFont="1" applyFill="1" applyAlignment="1">
      <alignment vertical="center"/>
    </xf>
    <xf numFmtId="0" fontId="8" fillId="6" borderId="0" xfId="0" applyFont="1" applyFill="1"/>
    <xf numFmtId="14" fontId="8" fillId="0" borderId="0" xfId="0" applyNumberFormat="1" applyFont="1" applyAlignment="1">
      <alignment vertical="center"/>
    </xf>
    <xf numFmtId="0" fontId="10" fillId="0" borderId="0" xfId="1" applyFont="1" applyBorder="1" applyAlignment="1" applyProtection="1">
      <protection locked="0"/>
    </xf>
    <xf numFmtId="1" fontId="8" fillId="0" borderId="0" xfId="0" applyNumberFormat="1" applyFont="1" applyAlignment="1" applyProtection="1">
      <alignment vertical="center"/>
      <protection locked="0"/>
    </xf>
    <xf numFmtId="164" fontId="6" fillId="0" borderId="0" xfId="0" applyNumberFormat="1" applyFont="1"/>
    <xf numFmtId="0" fontId="8" fillId="0" borderId="0" xfId="0" applyFont="1" applyAlignment="1" applyProtection="1">
      <alignment vertical="center"/>
      <protection locked="0"/>
    </xf>
    <xf numFmtId="164" fontId="8" fillId="0" borderId="0" xfId="0" applyNumberFormat="1" applyFont="1" applyAlignment="1">
      <alignment horizontal="right" vertical="center"/>
    </xf>
    <xf numFmtId="164" fontId="8" fillId="0" borderId="11" xfId="0" applyNumberFormat="1"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1" fontId="8" fillId="0" borderId="11" xfId="0" applyNumberFormat="1" applyFont="1" applyBorder="1" applyAlignment="1" applyProtection="1">
      <alignment horizontal="center" vertical="center"/>
      <protection locked="0"/>
    </xf>
    <xf numFmtId="0" fontId="8" fillId="4" borderId="0" xfId="0" applyFont="1" applyFill="1" applyAlignment="1">
      <alignment vertical="center"/>
    </xf>
    <xf numFmtId="164" fontId="14" fillId="4" borderId="0" xfId="0" applyNumberFormat="1" applyFont="1" applyFill="1" applyAlignment="1">
      <alignment horizontal="center" vertical="center"/>
    </xf>
    <xf numFmtId="164" fontId="8" fillId="4" borderId="0" xfId="0" applyNumberFormat="1" applyFont="1" applyFill="1" applyAlignment="1">
      <alignment vertical="center"/>
    </xf>
    <xf numFmtId="164" fontId="8" fillId="4" borderId="0" xfId="0" applyNumberFormat="1" applyFont="1" applyFill="1" applyAlignment="1">
      <alignment horizontal="center" vertical="center"/>
    </xf>
    <xf numFmtId="0" fontId="6" fillId="4" borderId="0" xfId="0" applyFont="1" applyFill="1" applyAlignment="1">
      <alignment vertical="center"/>
    </xf>
    <xf numFmtId="0" fontId="6" fillId="4" borderId="0" xfId="0" applyFont="1" applyFill="1" applyAlignment="1">
      <alignment horizontal="center" vertical="center"/>
    </xf>
    <xf numFmtId="0" fontId="7" fillId="4" borderId="0" xfId="0" applyFont="1" applyFill="1" applyAlignment="1">
      <alignment vertical="center"/>
    </xf>
    <xf numFmtId="164" fontId="8" fillId="4" borderId="0" xfId="0" applyNumberFormat="1" applyFont="1" applyFill="1" applyAlignment="1" applyProtection="1">
      <alignment vertical="center"/>
      <protection hidden="1"/>
    </xf>
    <xf numFmtId="0" fontId="8" fillId="4" borderId="0" xfId="0" applyFont="1" applyFill="1" applyAlignment="1">
      <alignment horizontal="left" vertical="center"/>
    </xf>
    <xf numFmtId="0" fontId="8" fillId="4" borderId="0" xfId="0" applyFont="1" applyFill="1"/>
    <xf numFmtId="1" fontId="8" fillId="4" borderId="0" xfId="0" applyNumberFormat="1" applyFont="1" applyFill="1" applyAlignment="1">
      <alignment horizontal="center" vertical="center"/>
    </xf>
    <xf numFmtId="0" fontId="8" fillId="4" borderId="0" xfId="0" applyFont="1" applyFill="1" applyAlignment="1">
      <alignment horizontal="center" vertical="center"/>
    </xf>
    <xf numFmtId="1" fontId="8" fillId="4" borderId="0" xfId="0" applyNumberFormat="1" applyFont="1" applyFill="1" applyAlignment="1">
      <alignment horizontal="left" vertical="center"/>
    </xf>
    <xf numFmtId="0" fontId="6" fillId="4" borderId="0" xfId="0" applyFont="1" applyFill="1" applyAlignment="1">
      <alignment horizontal="left" vertical="center"/>
    </xf>
    <xf numFmtId="0" fontId="6" fillId="4" borderId="0" xfId="0" applyFont="1" applyFill="1" applyAlignment="1">
      <alignment horizontal="right" vertical="center"/>
    </xf>
    <xf numFmtId="0" fontId="8" fillId="4" borderId="7" xfId="0" applyFont="1" applyFill="1" applyBorder="1" applyAlignment="1">
      <alignment vertical="center"/>
    </xf>
    <xf numFmtId="164" fontId="8" fillId="4" borderId="7" xfId="0" applyNumberFormat="1" applyFont="1" applyFill="1" applyBorder="1" applyAlignment="1">
      <alignment vertical="center"/>
    </xf>
    <xf numFmtId="0" fontId="8" fillId="4" borderId="9" xfId="0" applyFont="1" applyFill="1" applyBorder="1" applyAlignment="1">
      <alignment vertical="center"/>
    </xf>
    <xf numFmtId="164" fontId="8" fillId="4" borderId="9" xfId="0" applyNumberFormat="1" applyFont="1" applyFill="1" applyBorder="1"/>
    <xf numFmtId="0" fontId="11" fillId="4" borderId="0" xfId="0" applyFont="1" applyFill="1"/>
    <xf numFmtId="0" fontId="6" fillId="0" borderId="9" xfId="0" applyFont="1" applyBorder="1" applyAlignment="1">
      <alignment horizontal="left" vertical="center"/>
    </xf>
    <xf numFmtId="1" fontId="8" fillId="0" borderId="13" xfId="0" applyNumberFormat="1"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1" fontId="8" fillId="0" borderId="14" xfId="0" applyNumberFormat="1" applyFont="1" applyBorder="1" applyAlignment="1" applyProtection="1">
      <alignment horizontal="center" vertical="center"/>
      <protection locked="0"/>
    </xf>
    <xf numFmtId="1" fontId="8" fillId="0" borderId="12" xfId="0" applyNumberFormat="1" applyFont="1" applyBorder="1" applyAlignment="1" applyProtection="1">
      <alignment horizontal="center" vertical="center"/>
      <protection locked="0"/>
    </xf>
    <xf numFmtId="1" fontId="8" fillId="0" borderId="16" xfId="0" applyNumberFormat="1"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1" fontId="8" fillId="0" borderId="18" xfId="0" applyNumberFormat="1" applyFont="1" applyBorder="1" applyAlignment="1" applyProtection="1">
      <alignment horizontal="center" vertical="center"/>
      <protection locked="0"/>
    </xf>
    <xf numFmtId="0" fontId="8" fillId="4" borderId="10" xfId="0" applyFont="1" applyFill="1" applyBorder="1" applyAlignment="1">
      <alignment vertical="center"/>
    </xf>
    <xf numFmtId="164" fontId="8" fillId="4" borderId="10" xfId="0" applyNumberFormat="1" applyFont="1" applyFill="1" applyBorder="1" applyAlignment="1">
      <alignment vertical="center"/>
    </xf>
    <xf numFmtId="0" fontId="8" fillId="2" borderId="0" xfId="0" applyFont="1" applyFill="1" applyAlignment="1">
      <alignment vertical="center"/>
    </xf>
    <xf numFmtId="0" fontId="8" fillId="8" borderId="0" xfId="0" applyFont="1" applyFill="1" applyAlignment="1">
      <alignment vertical="center"/>
    </xf>
    <xf numFmtId="164" fontId="8" fillId="8" borderId="0" xfId="0" applyNumberFormat="1" applyFont="1" applyFill="1" applyAlignment="1">
      <alignment vertical="center"/>
    </xf>
    <xf numFmtId="0" fontId="8" fillId="2" borderId="0" xfId="0" applyFont="1" applyFill="1"/>
    <xf numFmtId="0" fontId="8" fillId="9" borderId="0" xfId="0" applyFont="1" applyFill="1" applyAlignment="1">
      <alignment vertical="center"/>
    </xf>
    <xf numFmtId="0" fontId="8" fillId="9" borderId="0" xfId="0" applyFont="1" applyFill="1"/>
    <xf numFmtId="164" fontId="6" fillId="0" borderId="9" xfId="0" applyNumberFormat="1" applyFont="1" applyBorder="1" applyAlignment="1">
      <alignment horizontal="right" vertical="center"/>
    </xf>
    <xf numFmtId="14" fontId="6" fillId="0" borderId="0" xfId="0" applyNumberFormat="1" applyFont="1" applyAlignment="1" applyProtection="1">
      <alignment vertical="center"/>
      <protection hidden="1"/>
    </xf>
    <xf numFmtId="1" fontId="8" fillId="0" borderId="0" xfId="0" applyNumberFormat="1" applyFont="1" applyAlignment="1">
      <alignment horizontal="left" vertical="center"/>
    </xf>
    <xf numFmtId="0" fontId="8" fillId="0" borderId="0" xfId="0" applyFont="1" applyAlignment="1">
      <alignment horizontal="left"/>
    </xf>
    <xf numFmtId="0" fontId="8" fillId="0" borderId="5" xfId="0" applyFont="1" applyBorder="1" applyAlignment="1">
      <alignment vertical="center"/>
    </xf>
    <xf numFmtId="0" fontId="8" fillId="0" borderId="6" xfId="0" applyFont="1" applyBorder="1" applyAlignment="1">
      <alignment vertical="center"/>
    </xf>
    <xf numFmtId="0" fontId="8" fillId="0" borderId="1" xfId="0" applyFont="1" applyBorder="1" applyAlignment="1">
      <alignment vertical="center"/>
    </xf>
    <xf numFmtId="0" fontId="11" fillId="0" borderId="0" xfId="0" applyFont="1"/>
    <xf numFmtId="0" fontId="12" fillId="0" borderId="0" xfId="0" applyFont="1" applyAlignment="1">
      <alignment horizontal="left"/>
    </xf>
    <xf numFmtId="164" fontId="8" fillId="0" borderId="14" xfId="0" applyNumberFormat="1" applyFont="1" applyBorder="1" applyAlignment="1" applyProtection="1">
      <alignment horizontal="center" vertical="center"/>
      <protection locked="0"/>
    </xf>
    <xf numFmtId="164" fontId="8" fillId="0" borderId="16" xfId="0" applyNumberFormat="1" applyFont="1" applyBorder="1" applyAlignment="1" applyProtection="1">
      <alignment horizontal="center" vertical="center"/>
      <protection locked="0"/>
    </xf>
    <xf numFmtId="0" fontId="8" fillId="0" borderId="13" xfId="0" applyFont="1" applyBorder="1" applyAlignment="1" applyProtection="1">
      <alignment horizontal="center" vertical="center"/>
      <protection locked="0"/>
    </xf>
    <xf numFmtId="0" fontId="6" fillId="0" borderId="0" xfId="0" applyFont="1" applyAlignment="1">
      <alignment horizontal="left" vertical="center"/>
    </xf>
    <xf numFmtId="1" fontId="8" fillId="0" borderId="9" xfId="0" applyNumberFormat="1" applyFont="1" applyBorder="1" applyAlignment="1">
      <alignment horizontal="left" vertical="center"/>
    </xf>
    <xf numFmtId="164" fontId="8" fillId="0" borderId="9" xfId="0" applyNumberFormat="1" applyFont="1" applyBorder="1" applyAlignment="1">
      <alignment vertical="center"/>
    </xf>
    <xf numFmtId="0" fontId="10" fillId="0" borderId="0" xfId="1" applyFont="1" applyBorder="1" applyAlignment="1" applyProtection="1">
      <alignment horizontal="left" vertical="center"/>
    </xf>
    <xf numFmtId="0" fontId="8" fillId="4" borderId="10" xfId="0" applyFont="1" applyFill="1" applyBorder="1"/>
    <xf numFmtId="164" fontId="8" fillId="4" borderId="10" xfId="0" applyNumberFormat="1" applyFont="1" applyFill="1" applyBorder="1"/>
    <xf numFmtId="0" fontId="8" fillId="4" borderId="9" xfId="0" applyFont="1" applyFill="1" applyBorder="1"/>
    <xf numFmtId="2" fontId="8" fillId="0" borderId="0" xfId="0" applyNumberFormat="1" applyFont="1" applyAlignment="1">
      <alignment vertical="center"/>
    </xf>
    <xf numFmtId="0" fontId="17" fillId="0" borderId="0" xfId="0" applyFont="1" applyAlignment="1">
      <alignment horizontal="left" vertical="center"/>
    </xf>
    <xf numFmtId="0" fontId="8" fillId="0" borderId="34" xfId="0" applyFont="1" applyBorder="1"/>
    <xf numFmtId="14" fontId="6" fillId="0" borderId="0" xfId="0" applyNumberFormat="1" applyFont="1" applyAlignment="1" applyProtection="1">
      <alignment horizontal="right" vertical="center"/>
      <protection hidden="1"/>
    </xf>
    <xf numFmtId="0" fontId="18" fillId="0" borderId="0" xfId="0" applyFont="1"/>
    <xf numFmtId="0" fontId="15" fillId="10" borderId="21" xfId="0" applyFont="1" applyFill="1" applyBorder="1" applyAlignment="1">
      <alignment horizontal="left" vertical="top" wrapText="1"/>
    </xf>
    <xf numFmtId="0" fontId="15" fillId="11" borderId="21" xfId="0" applyFont="1" applyFill="1" applyBorder="1" applyAlignment="1">
      <alignment horizontal="left" vertical="top" wrapText="1"/>
    </xf>
    <xf numFmtId="0" fontId="15" fillId="12" borderId="21" xfId="0" applyFont="1" applyFill="1" applyBorder="1" applyAlignment="1">
      <alignment horizontal="left" vertical="top" wrapText="1"/>
    </xf>
    <xf numFmtId="0" fontId="15" fillId="13" borderId="21" xfId="0" applyFont="1" applyFill="1" applyBorder="1" applyAlignment="1">
      <alignment horizontal="left" vertical="top" wrapText="1"/>
    </xf>
    <xf numFmtId="0" fontId="15" fillId="14" borderId="21" xfId="0" applyFont="1" applyFill="1" applyBorder="1" applyAlignment="1">
      <alignment horizontal="left" vertical="top" wrapText="1"/>
    </xf>
    <xf numFmtId="0" fontId="15" fillId="14" borderId="19" xfId="0" applyFont="1" applyFill="1" applyBorder="1" applyAlignment="1">
      <alignment horizontal="left" vertical="top" wrapText="1"/>
    </xf>
    <xf numFmtId="0" fontId="15" fillId="15" borderId="21" xfId="0" applyFont="1" applyFill="1" applyBorder="1" applyAlignment="1">
      <alignment horizontal="left" vertical="top" wrapText="1"/>
    </xf>
    <xf numFmtId="0" fontId="15" fillId="16" borderId="21" xfId="0" applyFont="1" applyFill="1" applyBorder="1" applyAlignment="1">
      <alignment horizontal="left" vertical="top" wrapText="1"/>
    </xf>
    <xf numFmtId="0" fontId="15" fillId="18" borderId="21" xfId="0" applyFont="1" applyFill="1" applyBorder="1" applyAlignment="1">
      <alignment horizontal="left" vertical="top" wrapText="1"/>
    </xf>
    <xf numFmtId="0" fontId="18" fillId="14" borderId="11" xfId="0" applyFont="1" applyFill="1" applyBorder="1" applyAlignment="1">
      <alignment horizontal="left" vertical="top" wrapText="1"/>
    </xf>
    <xf numFmtId="0" fontId="15" fillId="15" borderId="21" xfId="0" applyFont="1" applyFill="1" applyBorder="1" applyAlignment="1">
      <alignment horizontal="left" vertical="center" wrapText="1"/>
    </xf>
    <xf numFmtId="167" fontId="19" fillId="11" borderId="21" xfId="0" applyNumberFormat="1" applyFont="1" applyFill="1" applyBorder="1" applyAlignment="1">
      <alignment horizontal="left" vertical="top" wrapText="1"/>
    </xf>
    <xf numFmtId="0" fontId="20" fillId="0" borderId="0" xfId="1" applyFont="1" applyAlignment="1" applyProtection="1"/>
    <xf numFmtId="0" fontId="8" fillId="4" borderId="11" xfId="0" applyFont="1" applyFill="1" applyBorder="1" applyAlignment="1" applyProtection="1">
      <alignment horizontal="left" vertical="center"/>
      <protection locked="0"/>
    </xf>
    <xf numFmtId="164" fontId="7" fillId="4" borderId="11" xfId="0" applyNumberFormat="1" applyFont="1" applyFill="1" applyBorder="1" applyAlignment="1" applyProtection="1">
      <alignment vertical="center"/>
      <protection locked="0"/>
    </xf>
    <xf numFmtId="166" fontId="19" fillId="11" borderId="27" xfId="0" applyNumberFormat="1" applyFont="1" applyFill="1" applyBorder="1" applyAlignment="1">
      <alignment horizontal="left" vertical="top" wrapText="1"/>
    </xf>
    <xf numFmtId="0" fontId="15" fillId="16" borderId="27" xfId="0" applyFont="1" applyFill="1" applyBorder="1" applyAlignment="1">
      <alignment horizontal="left" vertical="top" wrapText="1"/>
    </xf>
    <xf numFmtId="0" fontId="15" fillId="16" borderId="28" xfId="0" applyFont="1" applyFill="1" applyBorder="1" applyAlignment="1">
      <alignment horizontal="left" vertical="top" wrapText="1"/>
    </xf>
    <xf numFmtId="0" fontId="15" fillId="16" borderId="29" xfId="0" applyFont="1" applyFill="1" applyBorder="1" applyAlignment="1">
      <alignment horizontal="left" vertical="top" wrapText="1"/>
    </xf>
    <xf numFmtId="166" fontId="19" fillId="11" borderId="11" xfId="0" applyNumberFormat="1" applyFont="1" applyFill="1" applyBorder="1" applyAlignment="1">
      <alignment horizontal="left" vertical="top" wrapText="1"/>
    </xf>
    <xf numFmtId="0" fontId="18" fillId="14" borderId="21" xfId="0" applyFont="1" applyFill="1" applyBorder="1" applyAlignment="1">
      <alignment horizontal="left" vertical="top" wrapText="1"/>
    </xf>
    <xf numFmtId="0" fontId="18" fillId="14" borderId="19" xfId="0" applyFont="1" applyFill="1" applyBorder="1" applyAlignment="1">
      <alignment horizontal="left" vertical="top" wrapText="1"/>
    </xf>
    <xf numFmtId="0" fontId="6" fillId="0" borderId="8" xfId="0" applyFont="1" applyBorder="1" applyAlignment="1">
      <alignment horizontal="center"/>
    </xf>
    <xf numFmtId="0" fontId="6" fillId="0" borderId="11" xfId="0" applyFont="1" applyBorder="1" applyAlignment="1">
      <alignment horizontal="center"/>
    </xf>
    <xf numFmtId="0" fontId="13" fillId="0" borderId="11" xfId="0" applyFont="1" applyBorder="1" applyAlignment="1">
      <alignment horizontal="center"/>
    </xf>
    <xf numFmtId="0" fontId="6" fillId="0" borderId="11" xfId="0" applyFont="1" applyBorder="1"/>
    <xf numFmtId="0" fontId="11" fillId="0" borderId="0" xfId="0" applyFont="1" applyAlignment="1">
      <alignment vertical="center"/>
    </xf>
    <xf numFmtId="0" fontId="8" fillId="19" borderId="0" xfId="0" applyFont="1" applyFill="1" applyAlignment="1">
      <alignment vertical="center"/>
    </xf>
    <xf numFmtId="0" fontId="6" fillId="3" borderId="0" xfId="0" applyFont="1" applyFill="1" applyAlignment="1">
      <alignment vertical="center"/>
    </xf>
    <xf numFmtId="164" fontId="7" fillId="19" borderId="0" xfId="0" applyNumberFormat="1" applyFont="1" applyFill="1" applyAlignment="1">
      <alignment vertical="center"/>
    </xf>
    <xf numFmtId="165" fontId="8" fillId="19" borderId="0" xfId="0" applyNumberFormat="1" applyFont="1" applyFill="1" applyAlignment="1">
      <alignment vertical="center"/>
    </xf>
    <xf numFmtId="164" fontId="8" fillId="19" borderId="0" xfId="0" applyNumberFormat="1" applyFont="1" applyFill="1" applyAlignment="1">
      <alignment vertical="center"/>
    </xf>
    <xf numFmtId="0" fontId="8" fillId="20" borderId="0" xfId="0" applyFont="1" applyFill="1" applyAlignment="1">
      <alignment vertical="center"/>
    </xf>
    <xf numFmtId="164" fontId="7" fillId="20" borderId="0" xfId="0" applyNumberFormat="1" applyFont="1" applyFill="1" applyAlignment="1">
      <alignment vertical="center"/>
    </xf>
    <xf numFmtId="165" fontId="8" fillId="20" borderId="0" xfId="0" applyNumberFormat="1" applyFont="1" applyFill="1" applyAlignment="1">
      <alignment vertical="center"/>
    </xf>
    <xf numFmtId="164" fontId="8" fillId="20" borderId="0" xfId="0" applyNumberFormat="1" applyFont="1" applyFill="1" applyAlignment="1">
      <alignment vertical="center"/>
    </xf>
    <xf numFmtId="0" fontId="6" fillId="21" borderId="0" xfId="0" applyFont="1" applyFill="1" applyAlignment="1">
      <alignment vertical="center"/>
    </xf>
    <xf numFmtId="0" fontId="8" fillId="21" borderId="0" xfId="0" applyFont="1" applyFill="1" applyAlignment="1">
      <alignment vertical="center"/>
    </xf>
    <xf numFmtId="164" fontId="8" fillId="21" borderId="0" xfId="0" applyNumberFormat="1" applyFont="1" applyFill="1" applyAlignment="1">
      <alignment vertical="center"/>
    </xf>
    <xf numFmtId="165" fontId="8" fillId="21" borderId="0" xfId="0" applyNumberFormat="1" applyFont="1" applyFill="1" applyAlignment="1">
      <alignment vertical="center"/>
    </xf>
    <xf numFmtId="0" fontId="6" fillId="0" borderId="6" xfId="0" applyFont="1" applyBorder="1"/>
    <xf numFmtId="14" fontId="8" fillId="0" borderId="0" xfId="0" applyNumberFormat="1" applyFont="1" applyAlignment="1" applyProtection="1">
      <alignment vertical="center"/>
      <protection hidden="1"/>
    </xf>
    <xf numFmtId="0" fontId="22" fillId="0" borderId="0" xfId="0" applyFont="1"/>
    <xf numFmtId="0" fontId="8" fillId="0" borderId="5" xfId="0" applyFont="1" applyBorder="1"/>
    <xf numFmtId="0" fontId="8" fillId="0" borderId="6" xfId="0" applyFont="1" applyBorder="1"/>
    <xf numFmtId="0" fontId="8" fillId="0" borderId="2" xfId="0" applyFont="1" applyBorder="1"/>
    <xf numFmtId="0" fontId="11" fillId="3" borderId="0" xfId="0" applyFont="1" applyFill="1" applyAlignment="1">
      <alignment vertical="center"/>
    </xf>
    <xf numFmtId="0" fontId="23" fillId="0" borderId="0" xfId="0" applyFont="1"/>
    <xf numFmtId="0" fontId="12" fillId="3" borderId="0" xfId="0" applyFont="1" applyFill="1" applyAlignment="1">
      <alignment vertical="center"/>
    </xf>
    <xf numFmtId="0" fontId="24" fillId="0" borderId="0" xfId="0" applyFont="1"/>
    <xf numFmtId="0" fontId="25" fillId="0" borderId="0" xfId="1" applyFont="1" applyFill="1" applyBorder="1" applyAlignment="1" applyProtection="1">
      <alignment vertical="center"/>
    </xf>
    <xf numFmtId="0" fontId="8" fillId="0" borderId="0" xfId="0" applyFont="1" applyAlignment="1" applyProtection="1">
      <alignment horizontal="left" vertical="center"/>
      <protection locked="0"/>
    </xf>
    <xf numFmtId="0" fontId="26" fillId="0" borderId="32" xfId="0" applyFont="1" applyBorder="1" applyAlignment="1">
      <alignment horizontal="left" vertical="center"/>
    </xf>
    <xf numFmtId="0" fontId="26" fillId="0" borderId="33" xfId="0" applyFont="1" applyBorder="1" applyAlignment="1">
      <alignment horizontal="left" vertical="center"/>
    </xf>
    <xf numFmtId="0" fontId="12" fillId="0" borderId="17" xfId="0" applyFont="1" applyBorder="1" applyAlignment="1" applyProtection="1">
      <alignment horizontal="left"/>
      <protection locked="0"/>
    </xf>
    <xf numFmtId="0" fontId="12" fillId="0" borderId="10" xfId="0" applyFont="1" applyBorder="1" applyAlignment="1" applyProtection="1">
      <alignment horizontal="left"/>
      <protection locked="0"/>
    </xf>
    <xf numFmtId="0" fontId="12" fillId="0" borderId="15" xfId="0" applyFont="1" applyBorder="1" applyAlignment="1" applyProtection="1">
      <alignment horizontal="left"/>
      <protection locked="0"/>
    </xf>
    <xf numFmtId="0" fontId="10" fillId="0" borderId="0" xfId="1" applyFont="1" applyBorder="1" applyAlignment="1" applyProtection="1">
      <alignment horizontal="left" vertical="center"/>
      <protection locked="0"/>
    </xf>
    <xf numFmtId="0" fontId="8" fillId="0" borderId="17" xfId="0" applyFont="1" applyBorder="1" applyAlignment="1" applyProtection="1">
      <alignment horizontal="left" vertical="center"/>
      <protection locked="0"/>
    </xf>
    <xf numFmtId="0" fontId="8" fillId="0" borderId="10" xfId="0" applyFont="1" applyBorder="1" applyAlignment="1" applyProtection="1">
      <alignment horizontal="left" vertical="center"/>
      <protection locked="0"/>
    </xf>
    <xf numFmtId="0" fontId="8" fillId="0" borderId="15" xfId="0" applyFont="1" applyBorder="1" applyAlignment="1" applyProtection="1">
      <alignment horizontal="left" vertical="center"/>
      <protection locked="0"/>
    </xf>
    <xf numFmtId="0" fontId="6" fillId="0" borderId="17" xfId="0" applyFont="1" applyBorder="1" applyAlignment="1">
      <alignment horizontal="center"/>
    </xf>
    <xf numFmtId="0" fontId="6" fillId="0" borderId="15" xfId="0" applyFont="1" applyBorder="1" applyAlignment="1">
      <alignment horizontal="center"/>
    </xf>
    <xf numFmtId="0" fontId="6" fillId="0" borderId="5" xfId="0" applyFont="1" applyBorder="1" applyAlignment="1">
      <alignment horizontal="center"/>
    </xf>
    <xf numFmtId="0" fontId="6" fillId="0" borderId="6" xfId="0" applyFont="1" applyBorder="1" applyAlignment="1">
      <alignment horizontal="center"/>
    </xf>
    <xf numFmtId="0" fontId="6" fillId="0" borderId="0" xfId="0" applyFont="1" applyAlignment="1">
      <alignment horizontal="left" vertical="center"/>
    </xf>
    <xf numFmtId="1" fontId="8" fillId="0" borderId="17" xfId="0" applyNumberFormat="1" applyFont="1" applyBorder="1" applyAlignment="1" applyProtection="1">
      <alignment horizontal="center" vertical="center"/>
      <protection locked="0"/>
    </xf>
    <xf numFmtId="1" fontId="8" fillId="0" borderId="10" xfId="0" applyNumberFormat="1" applyFont="1" applyBorder="1" applyAlignment="1" applyProtection="1">
      <alignment horizontal="center" vertical="center"/>
      <protection locked="0"/>
    </xf>
    <xf numFmtId="1" fontId="8" fillId="0" borderId="15" xfId="0" applyNumberFormat="1" applyFont="1" applyBorder="1" applyAlignment="1" applyProtection="1">
      <alignment horizontal="center" vertical="center"/>
      <protection locked="0"/>
    </xf>
    <xf numFmtId="0" fontId="8" fillId="0" borderId="17" xfId="0" applyFont="1" applyBorder="1" applyAlignment="1" applyProtection="1">
      <alignment horizontal="left"/>
      <protection locked="0"/>
    </xf>
    <xf numFmtId="0" fontId="8" fillId="0" borderId="10" xfId="0" applyFont="1" applyBorder="1" applyAlignment="1" applyProtection="1">
      <alignment horizontal="left"/>
      <protection locked="0"/>
    </xf>
    <xf numFmtId="0" fontId="8" fillId="0" borderId="15" xfId="0" applyFont="1" applyBorder="1" applyAlignment="1" applyProtection="1">
      <alignment horizontal="left"/>
      <protection locked="0"/>
    </xf>
    <xf numFmtId="0" fontId="6" fillId="0" borderId="10" xfId="0" applyFont="1" applyBorder="1" applyAlignment="1">
      <alignment horizontal="center"/>
    </xf>
    <xf numFmtId="0" fontId="15" fillId="11" borderId="25" xfId="0" applyFont="1" applyFill="1" applyBorder="1" applyAlignment="1">
      <alignment horizontal="left" vertical="top" wrapText="1"/>
    </xf>
    <xf numFmtId="0" fontId="15" fillId="11" borderId="26" xfId="0" applyFont="1" applyFill="1" applyBorder="1" applyAlignment="1">
      <alignment horizontal="left" vertical="top" wrapText="1"/>
    </xf>
    <xf numFmtId="0" fontId="15" fillId="11" borderId="19" xfId="0" applyFont="1" applyFill="1" applyBorder="1" applyAlignment="1">
      <alignment horizontal="left" vertical="top" wrapText="1"/>
    </xf>
    <xf numFmtId="0" fontId="15" fillId="11" borderId="20" xfId="0" applyFont="1" applyFill="1" applyBorder="1" applyAlignment="1">
      <alignment horizontal="left" vertical="top" wrapText="1"/>
    </xf>
    <xf numFmtId="0" fontId="18" fillId="14" borderId="17" xfId="0" applyFont="1" applyFill="1" applyBorder="1" applyAlignment="1">
      <alignment horizontal="left" vertical="top" wrapText="1"/>
    </xf>
    <xf numFmtId="0" fontId="15" fillId="14" borderId="15" xfId="0" applyFont="1" applyFill="1" applyBorder="1" applyAlignment="1">
      <alignment horizontal="left" vertical="top" wrapText="1"/>
    </xf>
    <xf numFmtId="0" fontId="15" fillId="17" borderId="19" xfId="0" applyFont="1" applyFill="1" applyBorder="1" applyAlignment="1">
      <alignment horizontal="left" vertical="top" wrapText="1"/>
    </xf>
    <xf numFmtId="0" fontId="15" fillId="17" borderId="22" xfId="0" applyFont="1" applyFill="1" applyBorder="1" applyAlignment="1">
      <alignment horizontal="left" vertical="top" wrapText="1"/>
    </xf>
    <xf numFmtId="0" fontId="15" fillId="17" borderId="20" xfId="0" applyFont="1" applyFill="1" applyBorder="1" applyAlignment="1">
      <alignment horizontal="left" vertical="top" wrapText="1"/>
    </xf>
    <xf numFmtId="0" fontId="15" fillId="18" borderId="19" xfId="0" applyFont="1" applyFill="1" applyBorder="1" applyAlignment="1">
      <alignment horizontal="left" vertical="top" wrapText="1"/>
    </xf>
    <xf numFmtId="0" fontId="15" fillId="18" borderId="22" xfId="0" applyFont="1" applyFill="1" applyBorder="1" applyAlignment="1">
      <alignment horizontal="left" vertical="top" wrapText="1"/>
    </xf>
    <xf numFmtId="0" fontId="15" fillId="18" borderId="20" xfId="0" applyFont="1" applyFill="1" applyBorder="1" applyAlignment="1">
      <alignment horizontal="left" vertical="top" wrapText="1"/>
    </xf>
    <xf numFmtId="0" fontId="15" fillId="12" borderId="19" xfId="0" applyFont="1" applyFill="1" applyBorder="1" applyAlignment="1">
      <alignment horizontal="left" vertical="top" wrapText="1"/>
    </xf>
    <xf numFmtId="0" fontId="15" fillId="12" borderId="20" xfId="0" applyFont="1" applyFill="1" applyBorder="1" applyAlignment="1">
      <alignment horizontal="left" vertical="top" wrapText="1"/>
    </xf>
    <xf numFmtId="0" fontId="15" fillId="13" borderId="19" xfId="0" applyFont="1" applyFill="1" applyBorder="1" applyAlignment="1">
      <alignment horizontal="left" vertical="top" wrapText="1"/>
    </xf>
    <xf numFmtId="0" fontId="15" fillId="13" borderId="20" xfId="0" applyFont="1" applyFill="1" applyBorder="1" applyAlignment="1">
      <alignment horizontal="left" vertical="top" wrapText="1"/>
    </xf>
    <xf numFmtId="0" fontId="15" fillId="16" borderId="27" xfId="0" applyFont="1" applyFill="1" applyBorder="1" applyAlignment="1">
      <alignment horizontal="left" vertical="top" wrapText="1"/>
    </xf>
    <xf numFmtId="0" fontId="15" fillId="16" borderId="28" xfId="0" applyFont="1" applyFill="1" applyBorder="1" applyAlignment="1">
      <alignment horizontal="left" vertical="top" wrapText="1"/>
    </xf>
    <xf numFmtId="0" fontId="15" fillId="16" borderId="29" xfId="0" applyFont="1" applyFill="1" applyBorder="1" applyAlignment="1">
      <alignment horizontal="left" vertical="top" wrapText="1"/>
    </xf>
    <xf numFmtId="0" fontId="15" fillId="18" borderId="27" xfId="0" applyFont="1" applyFill="1" applyBorder="1" applyAlignment="1">
      <alignment horizontal="left" vertical="center" wrapText="1"/>
    </xf>
    <xf numFmtId="0" fontId="15" fillId="18" borderId="28" xfId="0" applyFont="1" applyFill="1" applyBorder="1" applyAlignment="1">
      <alignment horizontal="left" vertical="center" wrapText="1"/>
    </xf>
    <xf numFmtId="0" fontId="15" fillId="18" borderId="29" xfId="0" applyFont="1" applyFill="1" applyBorder="1" applyAlignment="1">
      <alignment horizontal="left" vertical="center" wrapText="1"/>
    </xf>
    <xf numFmtId="0" fontId="15" fillId="18" borderId="23" xfId="0" applyFont="1" applyFill="1" applyBorder="1" applyAlignment="1">
      <alignment horizontal="left" vertical="top" wrapText="1"/>
    </xf>
    <xf numFmtId="0" fontId="15" fillId="18" borderId="30" xfId="0" applyFont="1" applyFill="1" applyBorder="1" applyAlignment="1">
      <alignment horizontal="left" vertical="top" wrapText="1"/>
    </xf>
    <xf numFmtId="0" fontId="15" fillId="18" borderId="24" xfId="0" applyFont="1" applyFill="1" applyBorder="1" applyAlignment="1">
      <alignment horizontal="left" vertical="top" wrapText="1"/>
    </xf>
    <xf numFmtId="0" fontId="15" fillId="18" borderId="25" xfId="0" applyFont="1" applyFill="1" applyBorder="1" applyAlignment="1">
      <alignment horizontal="left" vertical="top" wrapText="1"/>
    </xf>
    <xf numFmtId="0" fontId="15" fillId="18" borderId="31" xfId="0" applyFont="1" applyFill="1" applyBorder="1" applyAlignment="1">
      <alignment horizontal="left" vertical="top" wrapText="1"/>
    </xf>
    <xf numFmtId="0" fontId="15" fillId="18" borderId="26" xfId="0" applyFont="1" applyFill="1" applyBorder="1" applyAlignment="1">
      <alignment horizontal="left" vertical="top" wrapText="1"/>
    </xf>
    <xf numFmtId="0" fontId="15" fillId="14" borderId="19" xfId="0" applyFont="1" applyFill="1" applyBorder="1" applyAlignment="1">
      <alignment horizontal="left" vertical="top" wrapText="1"/>
    </xf>
    <xf numFmtId="0" fontId="15" fillId="14" borderId="22" xfId="0" applyFont="1" applyFill="1" applyBorder="1" applyAlignment="1">
      <alignment horizontal="left" vertical="top" wrapText="1"/>
    </xf>
    <xf numFmtId="0" fontId="15" fillId="14" borderId="30" xfId="0" applyFont="1" applyFill="1" applyBorder="1" applyAlignment="1">
      <alignment horizontal="left" vertical="top" wrapText="1"/>
    </xf>
    <xf numFmtId="0" fontId="15" fillId="14" borderId="24" xfId="0" applyFont="1" applyFill="1" applyBorder="1" applyAlignment="1">
      <alignment horizontal="left" vertical="top" wrapText="1"/>
    </xf>
    <xf numFmtId="0" fontId="15" fillId="15" borderId="27" xfId="0" applyFont="1" applyFill="1" applyBorder="1" applyAlignment="1">
      <alignment horizontal="left" vertical="center" wrapText="1"/>
    </xf>
    <xf numFmtId="0" fontId="15" fillId="15" borderId="28" xfId="0" applyFont="1" applyFill="1" applyBorder="1" applyAlignment="1">
      <alignment horizontal="left" vertical="center" wrapText="1"/>
    </xf>
    <xf numFmtId="0" fontId="15" fillId="15" borderId="29" xfId="0" applyFont="1" applyFill="1" applyBorder="1" applyAlignment="1">
      <alignment horizontal="left" vertical="center" wrapText="1"/>
    </xf>
    <xf numFmtId="0" fontId="15" fillId="15" borderId="27" xfId="0" applyFont="1" applyFill="1" applyBorder="1" applyAlignment="1">
      <alignment horizontal="left" vertical="top" wrapText="1"/>
    </xf>
    <xf numFmtId="0" fontId="15" fillId="15" borderId="29" xfId="0" applyFont="1" applyFill="1" applyBorder="1" applyAlignment="1">
      <alignment horizontal="left" vertical="top" wrapText="1"/>
    </xf>
    <xf numFmtId="0" fontId="15" fillId="16" borderId="27" xfId="0" applyFont="1" applyFill="1" applyBorder="1" applyAlignment="1">
      <alignment horizontal="left" vertical="center" wrapText="1"/>
    </xf>
    <xf numFmtId="0" fontId="15" fillId="16" borderId="28" xfId="0" applyFont="1" applyFill="1" applyBorder="1" applyAlignment="1">
      <alignment horizontal="left" vertical="center" wrapText="1"/>
    </xf>
    <xf numFmtId="0" fontId="15" fillId="16" borderId="29" xfId="0" applyFont="1" applyFill="1" applyBorder="1" applyAlignment="1">
      <alignment horizontal="left" vertical="center" wrapText="1"/>
    </xf>
    <xf numFmtId="0" fontId="15" fillId="11" borderId="11" xfId="0" applyFont="1" applyFill="1" applyBorder="1" applyAlignment="1">
      <alignment horizontal="left" vertical="top" wrapText="1"/>
    </xf>
    <xf numFmtId="0" fontId="18" fillId="10" borderId="19" xfId="0" applyFont="1" applyFill="1" applyBorder="1" applyAlignment="1">
      <alignment horizontal="left" vertical="top" wrapText="1"/>
    </xf>
    <xf numFmtId="0" fontId="15" fillId="10" borderId="20" xfId="0" applyFont="1" applyFill="1" applyBorder="1" applyAlignment="1">
      <alignment horizontal="left" vertical="top" wrapText="1"/>
    </xf>
    <xf numFmtId="0" fontId="15" fillId="10" borderId="19" xfId="0" applyFont="1" applyFill="1" applyBorder="1" applyAlignment="1">
      <alignment horizontal="left" vertical="top" wrapText="1"/>
    </xf>
    <xf numFmtId="0" fontId="15" fillId="11" borderId="23" xfId="0" applyFont="1" applyFill="1" applyBorder="1" applyAlignment="1">
      <alignment horizontal="left" vertical="top" wrapText="1"/>
    </xf>
    <xf numFmtId="0" fontId="15" fillId="11" borderId="24" xfId="0" applyFont="1" applyFill="1" applyBorder="1" applyAlignment="1">
      <alignment horizontal="left" vertical="top" wrapText="1"/>
    </xf>
    <xf numFmtId="0" fontId="15" fillId="0" borderId="0" xfId="0" applyFont="1" applyAlignment="1">
      <alignment wrapText="1"/>
    </xf>
    <xf numFmtId="0" fontId="18" fillId="0" borderId="0" xfId="0" applyFont="1"/>
    <xf numFmtId="0" fontId="15" fillId="0" borderId="0" xfId="0" applyFont="1"/>
    <xf numFmtId="0" fontId="20" fillId="0" borderId="0" xfId="1" applyFont="1" applyAlignment="1" applyProtection="1"/>
    <xf numFmtId="0" fontId="18" fillId="17" borderId="19" xfId="0" applyFont="1" applyFill="1" applyBorder="1" applyAlignment="1">
      <alignment horizontal="left" vertical="top" wrapText="1"/>
    </xf>
    <xf numFmtId="0" fontId="18" fillId="12" borderId="19" xfId="0" applyFont="1" applyFill="1" applyBorder="1" applyAlignment="1">
      <alignment horizontal="left" vertical="top" wrapText="1"/>
    </xf>
    <xf numFmtId="0" fontId="18" fillId="14" borderId="19" xfId="0" applyFont="1" applyFill="1" applyBorder="1" applyAlignment="1">
      <alignment horizontal="left" vertical="top" wrapText="1"/>
    </xf>
    <xf numFmtId="0" fontId="15" fillId="11" borderId="17" xfId="0" applyFont="1" applyFill="1" applyBorder="1" applyAlignment="1">
      <alignment horizontal="left" vertical="top" wrapText="1"/>
    </xf>
    <xf numFmtId="0" fontId="15" fillId="11" borderId="15" xfId="0" applyFont="1" applyFill="1" applyBorder="1" applyAlignment="1">
      <alignment horizontal="left" vertical="top" wrapText="1"/>
    </xf>
  </cellXfs>
  <cellStyles count="3">
    <cellStyle name="Hyperlink" xfId="1" builtinId="8"/>
    <cellStyle name="Normal" xfId="0" builtinId="0"/>
    <cellStyle name="Normal 2" xfId="2" xr:uid="{00000000-0005-0000-0000-000002000000}"/>
  </cellStyles>
  <dxfs count="0"/>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jbrahm@sund.ku.dk" TargetMode="External"/><Relationship Id="rId2" Type="http://schemas.openxmlformats.org/officeDocument/2006/relationships/hyperlink" Target="mailto:jbrahm@sund.ku.dk" TargetMode="External"/><Relationship Id="rId1" Type="http://schemas.openxmlformats.org/officeDocument/2006/relationships/hyperlink" Target="https://intranet.ku.dk/sund/uddannelse/undervisning/normkatalog/Documents/Undervisnings-eksamens-vejledningsnormer%20samlet%20sept2013-jan2014.pdf" TargetMode="External"/><Relationship Id="rId5" Type="http://schemas.openxmlformats.org/officeDocument/2006/relationships/printerSettings" Target="../printerSettings/printerSettings1.bin"/><Relationship Id="rId4" Type="http://schemas.openxmlformats.org/officeDocument/2006/relationships/hyperlink" Target="mailto:nschmitt@sund.ku.dk"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intranet.ku.dk/sund/uddannelse/undervisning/normkatalog/Documents/Undervisnings-eksamens-vejledningsnormer%20samlet%20sept2013-jan2014.pdf"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hyperlink" Target="https://intranet.ku.dk/sund/uddannelse/undervisning/normkatalog/Documents/Undervisnings-eksamens-vejledningsnormer%20samlet%20sept2013-jan2014.pdf" TargetMode="External"/><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4.bin"/><Relationship Id="rId1" Type="http://schemas.openxmlformats.org/officeDocument/2006/relationships/hyperlink" Target="https://intranet.ku.dk/sund/uddannelse/undervisning/normkatalog/Documents/Undervisnings-eksamens-vejledningsnormer%20samlet%20sept2013-jan2014.pdf" TargetMode="External"/><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kunet.ku.dk/fakultet-og-institut/sund/uddannelseogundervisning/undervisning/normkatalog/Sider/default.aspx"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kunet.ku.dk/faculty-and-department/health/StudyProgrammesandTeaching/Teaching/CatalogueofStandards/Pages/default.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CC"/>
    <pageSetUpPr fitToPage="1"/>
  </sheetPr>
  <dimension ref="A1:M94"/>
  <sheetViews>
    <sheetView tabSelected="1" zoomScaleNormal="100" workbookViewId="0">
      <selection activeCell="B6" sqref="B6"/>
    </sheetView>
  </sheetViews>
  <sheetFormatPr defaultColWidth="9.33203125" defaultRowHeight="15" x14ac:dyDescent="0.25"/>
  <cols>
    <col min="1" max="1" width="36.5" style="1" customWidth="1"/>
    <col min="2" max="2" width="33.83203125" style="1" customWidth="1"/>
    <col min="3" max="3" width="13.6640625" style="25" customWidth="1"/>
    <col min="4" max="4" width="0" style="1" hidden="1" customWidth="1"/>
    <col min="5" max="5" width="9.83203125" style="1" hidden="1" customWidth="1"/>
    <col min="6" max="16384" width="9.33203125" style="1"/>
  </cols>
  <sheetData>
    <row r="1" spans="1:13" x14ac:dyDescent="0.25">
      <c r="A1" s="91" t="s">
        <v>129</v>
      </c>
      <c r="C1" s="112" t="s">
        <v>555</v>
      </c>
      <c r="M1" s="28"/>
    </row>
    <row r="2" spans="1:13" x14ac:dyDescent="0.25">
      <c r="A2" s="91"/>
      <c r="C2" s="112"/>
      <c r="M2" s="28"/>
    </row>
    <row r="3" spans="1:13" x14ac:dyDescent="0.25">
      <c r="A3" s="155"/>
      <c r="C3" s="112"/>
      <c r="M3" s="28"/>
    </row>
    <row r="4" spans="1:13" x14ac:dyDescent="0.25">
      <c r="A4" s="155"/>
      <c r="B4" s="165"/>
      <c r="C4" s="112"/>
      <c r="M4" s="28"/>
    </row>
    <row r="5" spans="1:13" x14ac:dyDescent="0.25">
      <c r="A5" s="21"/>
      <c r="M5" s="6"/>
    </row>
    <row r="6" spans="1:13" x14ac:dyDescent="0.25">
      <c r="A6" s="11" t="s">
        <v>336</v>
      </c>
      <c r="B6" s="127"/>
      <c r="D6" s="94" t="s">
        <v>1</v>
      </c>
      <c r="E6" s="95"/>
      <c r="M6" s="6"/>
    </row>
    <row r="7" spans="1:13" x14ac:dyDescent="0.25">
      <c r="A7" s="11" t="s">
        <v>128</v>
      </c>
      <c r="B7" s="127"/>
      <c r="C7" s="24"/>
      <c r="D7" s="9">
        <f>B6</f>
        <v>0</v>
      </c>
      <c r="E7" s="10" t="str">
        <f>IF(D7=0,"",1)</f>
        <v/>
      </c>
      <c r="F7" s="6"/>
      <c r="M7" s="6"/>
    </row>
    <row r="8" spans="1:13" x14ac:dyDescent="0.25">
      <c r="A8" s="92" t="s">
        <v>117</v>
      </c>
      <c r="B8" s="127"/>
      <c r="C8" s="24"/>
      <c r="D8" s="9">
        <f>B7</f>
        <v>0</v>
      </c>
      <c r="E8" s="10" t="str">
        <f>IF(D8=0,"",1)</f>
        <v/>
      </c>
      <c r="F8" s="6"/>
      <c r="M8" s="6"/>
    </row>
    <row r="9" spans="1:13" x14ac:dyDescent="0.25">
      <c r="A9" s="92" t="s">
        <v>557</v>
      </c>
      <c r="B9" s="127"/>
      <c r="C9" s="24"/>
      <c r="D9" s="9">
        <f>B8</f>
        <v>0</v>
      </c>
      <c r="E9" s="10" t="str">
        <f>IF(D9=0,"",1)</f>
        <v/>
      </c>
      <c r="F9" s="6"/>
      <c r="M9" s="6"/>
    </row>
    <row r="10" spans="1:13" x14ac:dyDescent="0.25">
      <c r="A10" s="93" t="s">
        <v>89</v>
      </c>
      <c r="B10" s="93" t="str">
        <f>IF(B9="","",IF(LEFT(B9,1)="1","January, 1 - June, 30","July, 1 - December, 31"))</f>
        <v/>
      </c>
      <c r="C10" s="24"/>
      <c r="D10" s="96">
        <f>B9</f>
        <v>0</v>
      </c>
      <c r="E10" s="12" t="str">
        <f>IF(D10=0,"",1)</f>
        <v/>
      </c>
      <c r="F10" s="6"/>
      <c r="M10" s="6"/>
    </row>
    <row r="11" spans="1:13" ht="15.75" thickBot="1" x14ac:dyDescent="0.3">
      <c r="A11" s="93"/>
      <c r="B11" s="93"/>
      <c r="C11" s="24"/>
      <c r="D11" s="6"/>
      <c r="E11" s="6"/>
      <c r="F11" s="6"/>
      <c r="M11" s="6"/>
    </row>
    <row r="12" spans="1:13" ht="24.75" thickTop="1" thickBot="1" x14ac:dyDescent="0.3">
      <c r="A12" s="110" t="str">
        <f>IF(SUM(E7:E10)&lt;&gt;4,"","Save your file as:")</f>
        <v/>
      </c>
      <c r="B12" s="166" t="str">
        <f>IF(SUM(E7:E10)&lt;&gt;4,"Incomplete entries above",CONCATENATE("UR",B8,"-",IF(LEFT(B9,1)="1",1,2),"-",B7,"-",LEFT(B6,1)))</f>
        <v>Incomplete entries above</v>
      </c>
      <c r="C12" s="167" t="str">
        <f>IF(SUM(F7:F10)&lt;&gt;4,"Incomplete entries above",CONCATENATE("UR",C8,"-",IF(LEFT(C9,1)="s",1,2),"-",C7,"-",LEFT(C6,1)))</f>
        <v>Incomplete entries above</v>
      </c>
      <c r="D12" s="167" t="str">
        <f>IF(SUM(G7:G10)&lt;&gt;4,"Incomplete entries above",CONCATENATE("UR",D8,"-",IF(LEFT(D9,1)="s",1,2),"-",D7,"-",LEFT(D6,1)))</f>
        <v>Incomplete entries above</v>
      </c>
      <c r="E12" s="167" t="str">
        <f>IF(SUM(H7:H10)&lt;&gt;4,"Incomplete entries above",CONCATENATE("UR",E8,"-",IF(LEFT(E9,1)="s",1,2),"-",E7,"-",LEFT(E6,1)))</f>
        <v>Incomplete entries above</v>
      </c>
      <c r="F12" s="167" t="str">
        <f>IF(SUM(I7:I10)&lt;&gt;4,"Incomplete entries above",CONCATENATE("UR",F8,"-",IF(LEFT(F9,1)="s",1,2),"-",F7,"-",LEFT(F6,1)))</f>
        <v>Incomplete entries above</v>
      </c>
      <c r="G12" s="167" t="str">
        <f>IF(SUM(J7:J10)&lt;&gt;4,"Incomplete entries above",CONCATENATE("UR",G8,"-",IF(LEFT(G9,1)="s",1,2),"-",G7,"-",LEFT(G6,1)))</f>
        <v>Incomplete entries above</v>
      </c>
      <c r="H12" s="111"/>
      <c r="M12" s="6"/>
    </row>
    <row r="13" spans="1:13" ht="15.75" thickTop="1" x14ac:dyDescent="0.25">
      <c r="C13" s="24"/>
      <c r="E13" s="6"/>
      <c r="F13" s="6"/>
      <c r="M13" s="6"/>
    </row>
    <row r="14" spans="1:13" x14ac:dyDescent="0.25">
      <c r="A14" s="102" t="s">
        <v>79</v>
      </c>
      <c r="B14" s="6"/>
      <c r="C14" s="24"/>
      <c r="E14" s="6"/>
      <c r="F14" s="6"/>
      <c r="M14" s="6"/>
    </row>
    <row r="15" spans="1:13" x14ac:dyDescent="0.25">
      <c r="A15" s="102"/>
      <c r="B15" s="6"/>
      <c r="C15" s="24"/>
      <c r="E15" s="6"/>
      <c r="F15" s="6"/>
      <c r="M15" s="6"/>
    </row>
    <row r="16" spans="1:13" x14ac:dyDescent="0.25">
      <c r="A16" s="102"/>
      <c r="B16" s="6"/>
      <c r="C16" s="24"/>
      <c r="E16" s="6"/>
      <c r="F16" s="6"/>
      <c r="M16" s="6"/>
    </row>
    <row r="17" spans="1:13" x14ac:dyDescent="0.25">
      <c r="A17" s="102"/>
      <c r="B17" s="6" t="s">
        <v>556</v>
      </c>
      <c r="C17" s="24"/>
      <c r="E17" s="6"/>
      <c r="F17" s="6"/>
      <c r="M17" s="6"/>
    </row>
    <row r="18" spans="1:13" x14ac:dyDescent="0.25">
      <c r="A18" s="92" t="s">
        <v>80</v>
      </c>
      <c r="B18" s="27" t="str">
        <f>IF('2-Medicine'!$L$40&lt;0.5,"Tap 2-Medicine",'2-Medicine'!$L$40)</f>
        <v>Tap 2-Medicine</v>
      </c>
      <c r="C18" s="24"/>
      <c r="D18" s="6"/>
      <c r="E18" s="6"/>
      <c r="F18" s="6"/>
      <c r="M18" s="6"/>
    </row>
    <row r="19" spans="1:13" x14ac:dyDescent="0.25">
      <c r="A19" s="92" t="s">
        <v>550</v>
      </c>
      <c r="B19" s="7" t="str">
        <f>IF('3-Odont-HumBio-MolBio-NeuroSci'!$L$40&lt;0.5,"Tap 3-Odont-HumBio-MolBio-Neurosci",'3-Odont-HumBio-MolBio-NeuroSci'!$L$40)</f>
        <v>Tap 3-Odont-HumBio-MolBio-Neurosci</v>
      </c>
      <c r="C19" s="24"/>
      <c r="D19" s="24"/>
      <c r="E19" s="6"/>
      <c r="F19" s="6"/>
      <c r="M19" s="6"/>
    </row>
    <row r="20" spans="1:13" x14ac:dyDescent="0.25">
      <c r="A20" s="92" t="s">
        <v>122</v>
      </c>
      <c r="B20" s="7" t="str">
        <f>IF('4-MedTek-ITS-FSV-Farm'!$L$40&lt;0.5,"Tap 4-MedTek-ITS-FSV-Farm",'4-MedTek-ITS-FSV-Farm'!$L$40)</f>
        <v>Tap 4-MedTek-ITS-FSV-Farm</v>
      </c>
      <c r="C20" s="24"/>
      <c r="D20" s="6"/>
      <c r="E20" s="6"/>
      <c r="F20" s="6"/>
      <c r="M20" s="6"/>
    </row>
    <row r="21" spans="1:13" x14ac:dyDescent="0.25">
      <c r="A21" s="92"/>
      <c r="B21" s="7"/>
      <c r="C21" s="24"/>
      <c r="D21" s="6"/>
      <c r="E21" s="6"/>
      <c r="F21" s="6"/>
      <c r="M21" s="6"/>
    </row>
    <row r="22" spans="1:13" ht="15.75" thickBot="1" x14ac:dyDescent="0.3">
      <c r="A22" s="103" t="s">
        <v>81</v>
      </c>
      <c r="B22" s="104">
        <f>SUM(B18:B20)</f>
        <v>0</v>
      </c>
      <c r="C22" s="24"/>
      <c r="F22" s="6"/>
      <c r="M22" s="6"/>
    </row>
    <row r="23" spans="1:13" ht="15.75" thickTop="1" x14ac:dyDescent="0.25">
      <c r="A23" s="92"/>
      <c r="B23" s="7"/>
      <c r="C23" s="24"/>
      <c r="F23" s="6"/>
      <c r="M23" s="6"/>
    </row>
    <row r="24" spans="1:13" x14ac:dyDescent="0.25">
      <c r="A24" s="19" t="str">
        <f>IF(B24="","Your UR-h agreement (hours)","Your UR-h agreement")</f>
        <v>Your UR-h agreement (hours)</v>
      </c>
      <c r="B24" s="128"/>
      <c r="C24" s="24"/>
      <c r="F24" s="6"/>
      <c r="M24" s="6"/>
    </row>
    <row r="25" spans="1:13" x14ac:dyDescent="0.25">
      <c r="A25" s="19"/>
      <c r="B25" s="13"/>
      <c r="C25" s="24"/>
      <c r="F25" s="6"/>
      <c r="M25" s="6"/>
    </row>
    <row r="26" spans="1:13" ht="15.75" thickBot="1" x14ac:dyDescent="0.3">
      <c r="A26" s="74" t="str">
        <f>IF(B24="","",IF(B22-B24=0,0,IF(B22-B24&gt;0,"Balance - surplus","Balance - deficit")))</f>
        <v/>
      </c>
      <c r="B26" s="90">
        <f>B22-B24</f>
        <v>0</v>
      </c>
      <c r="C26" s="24"/>
      <c r="F26" s="6"/>
      <c r="M26" s="6"/>
    </row>
    <row r="27" spans="1:13" ht="15.75" thickTop="1" x14ac:dyDescent="0.25">
      <c r="A27" s="16"/>
      <c r="B27" s="6"/>
      <c r="C27" s="24"/>
      <c r="F27" s="6"/>
      <c r="M27" s="6"/>
    </row>
    <row r="28" spans="1:13" x14ac:dyDescent="0.25">
      <c r="A28" s="6"/>
      <c r="B28" s="6"/>
      <c r="C28" s="24"/>
      <c r="D28" s="6"/>
      <c r="E28" s="6"/>
      <c r="F28" s="6"/>
      <c r="M28" s="6"/>
    </row>
    <row r="29" spans="1:13" x14ac:dyDescent="0.25">
      <c r="A29" s="32" t="s">
        <v>82</v>
      </c>
      <c r="B29" s="8"/>
      <c r="C29" s="24"/>
      <c r="D29" s="6"/>
      <c r="E29" s="6"/>
      <c r="F29" s="6"/>
      <c r="M29" s="6"/>
    </row>
    <row r="30" spans="1:13" hidden="1" x14ac:dyDescent="0.25">
      <c r="A30" s="11" t="s">
        <v>3</v>
      </c>
      <c r="B30" s="105" t="s">
        <v>317</v>
      </c>
      <c r="C30" s="24"/>
      <c r="D30" s="6"/>
      <c r="E30" s="6"/>
      <c r="F30" s="6"/>
      <c r="M30" s="6"/>
    </row>
    <row r="31" spans="1:13" ht="15" customHeight="1" x14ac:dyDescent="0.25">
      <c r="A31" s="1" t="s">
        <v>2</v>
      </c>
      <c r="B31" s="105" t="s">
        <v>118</v>
      </c>
      <c r="C31" s="24"/>
      <c r="D31" s="6"/>
      <c r="E31" s="6"/>
      <c r="F31" s="6"/>
      <c r="M31" s="6"/>
    </row>
    <row r="32" spans="1:13" ht="15" customHeight="1" x14ac:dyDescent="0.25">
      <c r="B32" s="105"/>
      <c r="C32" s="24"/>
      <c r="D32" s="6"/>
      <c r="E32" s="6"/>
      <c r="F32" s="6"/>
      <c r="M32" s="6"/>
    </row>
    <row r="33" spans="1:13" x14ac:dyDescent="0.25">
      <c r="A33" s="32" t="s">
        <v>83</v>
      </c>
      <c r="B33" s="14"/>
      <c r="C33" s="24"/>
      <c r="D33" s="6"/>
      <c r="E33" s="6"/>
      <c r="F33" s="6"/>
      <c r="M33" s="6"/>
    </row>
    <row r="34" spans="1:13" x14ac:dyDescent="0.25">
      <c r="A34" s="1" t="s">
        <v>2</v>
      </c>
      <c r="B34" s="105" t="s">
        <v>118</v>
      </c>
      <c r="C34" s="24"/>
      <c r="D34" s="6"/>
      <c r="E34" s="6"/>
      <c r="F34" s="6"/>
      <c r="M34" s="6"/>
    </row>
    <row r="35" spans="1:13" x14ac:dyDescent="0.25">
      <c r="A35" s="8"/>
      <c r="B35" s="6"/>
      <c r="C35" s="24"/>
      <c r="D35" s="6"/>
      <c r="E35" s="6"/>
      <c r="F35" s="6"/>
      <c r="M35" s="6"/>
    </row>
    <row r="36" spans="1:13" x14ac:dyDescent="0.25">
      <c r="A36" s="16"/>
      <c r="B36" s="6"/>
      <c r="C36" s="24"/>
      <c r="D36" s="6"/>
      <c r="E36" s="6"/>
      <c r="F36" s="6"/>
      <c r="M36" s="6"/>
    </row>
    <row r="37" spans="1:13" x14ac:dyDescent="0.25">
      <c r="A37" s="16"/>
      <c r="B37" s="6"/>
      <c r="C37" s="24"/>
      <c r="D37" s="6"/>
      <c r="E37" s="6"/>
      <c r="F37" s="6"/>
      <c r="M37" s="6"/>
    </row>
    <row r="38" spans="1:13" x14ac:dyDescent="0.25">
      <c r="A38" s="16"/>
      <c r="B38" s="6"/>
      <c r="C38" s="24"/>
      <c r="D38" s="6"/>
      <c r="E38" s="6"/>
      <c r="F38" s="6"/>
      <c r="M38" s="6"/>
    </row>
    <row r="39" spans="1:13" x14ac:dyDescent="0.25">
      <c r="A39" s="16"/>
      <c r="B39" s="6"/>
      <c r="C39" s="24"/>
      <c r="D39" s="6"/>
      <c r="E39" s="6"/>
      <c r="F39" s="6"/>
      <c r="M39" s="6"/>
    </row>
    <row r="40" spans="1:13" x14ac:dyDescent="0.25">
      <c r="A40" s="8"/>
      <c r="B40" s="6"/>
      <c r="C40" s="24"/>
      <c r="E40" s="6"/>
      <c r="F40" s="6"/>
    </row>
    <row r="41" spans="1:13" x14ac:dyDescent="0.25">
      <c r="A41" s="16"/>
      <c r="B41" s="6" t="str">
        <f>IF(A40="","","Forelæsninger")</f>
        <v/>
      </c>
      <c r="C41" s="24"/>
      <c r="D41" s="6"/>
      <c r="E41" s="6"/>
      <c r="F41" s="6"/>
    </row>
    <row r="42" spans="1:13" x14ac:dyDescent="0.25">
      <c r="A42" s="16"/>
      <c r="B42" s="6" t="str">
        <f>IF(A40="","","SAU24 holdundervisning")</f>
        <v/>
      </c>
      <c r="C42" s="24"/>
      <c r="D42" s="6"/>
      <c r="E42" s="6"/>
      <c r="F42" s="6"/>
    </row>
    <row r="43" spans="1:13" x14ac:dyDescent="0.25">
      <c r="A43" s="16"/>
      <c r="B43" s="6"/>
      <c r="C43" s="24"/>
      <c r="D43" s="6"/>
      <c r="E43" s="6"/>
      <c r="F43" s="6"/>
      <c r="M43" s="6"/>
    </row>
    <row r="44" spans="1:13" x14ac:dyDescent="0.25">
      <c r="A44" s="16"/>
      <c r="B44" s="6"/>
      <c r="C44" s="24"/>
      <c r="D44" s="6"/>
      <c r="E44" s="6"/>
      <c r="F44" s="6"/>
      <c r="M44" s="6"/>
    </row>
    <row r="45" spans="1:13" x14ac:dyDescent="0.25">
      <c r="A45" s="8"/>
      <c r="B45" s="6"/>
      <c r="C45" s="24"/>
      <c r="D45" s="6"/>
      <c r="E45" s="6"/>
      <c r="F45" s="6"/>
      <c r="M45" s="6"/>
    </row>
    <row r="46" spans="1:13" x14ac:dyDescent="0.25">
      <c r="A46" s="16"/>
      <c r="B46" s="6"/>
      <c r="C46" s="24"/>
      <c r="D46" s="6"/>
      <c r="E46" s="6"/>
      <c r="F46" s="6"/>
      <c r="M46" s="6"/>
    </row>
    <row r="47" spans="1:13" x14ac:dyDescent="0.25">
      <c r="A47" s="16"/>
      <c r="B47" s="6"/>
      <c r="C47" s="24"/>
      <c r="D47" s="6"/>
      <c r="E47" s="6"/>
      <c r="F47" s="6"/>
      <c r="M47" s="6"/>
    </row>
    <row r="48" spans="1:13" x14ac:dyDescent="0.25">
      <c r="A48" s="16"/>
      <c r="B48" s="6"/>
      <c r="C48" s="24"/>
      <c r="D48" s="6"/>
      <c r="E48" s="6"/>
      <c r="F48" s="6"/>
      <c r="M48" s="6"/>
    </row>
    <row r="49" spans="1:13" x14ac:dyDescent="0.25">
      <c r="A49" s="16"/>
      <c r="B49" s="6"/>
      <c r="C49" s="24"/>
      <c r="D49" s="6"/>
      <c r="E49" s="6"/>
      <c r="F49" s="6"/>
      <c r="M49" s="6"/>
    </row>
    <row r="50" spans="1:13" x14ac:dyDescent="0.25">
      <c r="A50" s="8"/>
      <c r="B50" s="14"/>
      <c r="C50" s="24"/>
      <c r="D50" s="6"/>
      <c r="E50" s="6"/>
      <c r="F50" s="6"/>
    </row>
    <row r="51" spans="1:13" x14ac:dyDescent="0.25">
      <c r="A51" s="8"/>
      <c r="B51" s="6"/>
      <c r="C51" s="24"/>
      <c r="D51" s="6"/>
      <c r="E51" s="6"/>
      <c r="F51" s="6"/>
      <c r="M51" s="7"/>
    </row>
    <row r="52" spans="1:13" x14ac:dyDescent="0.25">
      <c r="A52" s="97"/>
      <c r="B52" s="98"/>
      <c r="C52" s="24"/>
      <c r="D52" s="6"/>
      <c r="E52" s="6"/>
      <c r="F52" s="6"/>
      <c r="M52" s="7"/>
    </row>
    <row r="53" spans="1:13" x14ac:dyDescent="0.25">
      <c r="A53" s="16"/>
      <c r="B53" s="6"/>
      <c r="C53" s="24"/>
      <c r="D53" s="6"/>
      <c r="E53" s="6"/>
      <c r="F53" s="6"/>
      <c r="M53" s="7"/>
    </row>
    <row r="54" spans="1:13" x14ac:dyDescent="0.25">
      <c r="A54" s="97"/>
      <c r="B54" s="98"/>
      <c r="C54" s="24"/>
      <c r="D54" s="6"/>
      <c r="E54" s="6"/>
      <c r="F54" s="6"/>
      <c r="M54" s="7"/>
    </row>
    <row r="55" spans="1:13" x14ac:dyDescent="0.25">
      <c r="A55" s="8"/>
      <c r="B55" s="6"/>
      <c r="C55" s="24"/>
      <c r="D55" s="6"/>
      <c r="E55" s="6"/>
      <c r="F55" s="6"/>
      <c r="M55" s="6"/>
    </row>
    <row r="56" spans="1:13" x14ac:dyDescent="0.25">
      <c r="A56" s="97"/>
      <c r="B56" s="98"/>
      <c r="C56" s="24"/>
      <c r="D56" s="6"/>
      <c r="E56" s="6"/>
      <c r="F56" s="6"/>
      <c r="M56" s="6"/>
    </row>
    <row r="57" spans="1:13" x14ac:dyDescent="0.25">
      <c r="A57" s="16"/>
      <c r="B57" s="6"/>
      <c r="C57" s="24"/>
      <c r="D57" s="6"/>
      <c r="E57" s="6"/>
      <c r="F57" s="6"/>
      <c r="M57" s="6"/>
    </row>
    <row r="58" spans="1:13" x14ac:dyDescent="0.25">
      <c r="A58" s="97"/>
      <c r="B58" s="98"/>
      <c r="C58" s="24"/>
      <c r="D58" s="6"/>
      <c r="E58" s="6"/>
      <c r="F58" s="6"/>
      <c r="M58" s="6"/>
    </row>
    <row r="59" spans="1:13" x14ac:dyDescent="0.25">
      <c r="A59" s="8"/>
      <c r="B59" s="6"/>
      <c r="C59" s="24"/>
      <c r="D59" s="6"/>
      <c r="E59" s="6"/>
      <c r="F59" s="6"/>
    </row>
    <row r="60" spans="1:13" x14ac:dyDescent="0.25">
      <c r="A60" s="97"/>
      <c r="B60" s="98"/>
      <c r="C60" s="24"/>
      <c r="D60" s="6"/>
      <c r="E60" s="6"/>
      <c r="F60" s="6"/>
    </row>
    <row r="61" spans="1:13" x14ac:dyDescent="0.25">
      <c r="A61" s="16"/>
      <c r="B61" s="6"/>
      <c r="C61" s="24"/>
      <c r="D61" s="6"/>
      <c r="E61" s="6"/>
      <c r="F61" s="6"/>
    </row>
    <row r="62" spans="1:13" x14ac:dyDescent="0.25">
      <c r="A62" s="97"/>
      <c r="B62" s="98"/>
      <c r="C62" s="24"/>
      <c r="D62" s="6"/>
      <c r="E62" s="6"/>
      <c r="F62" s="6"/>
    </row>
    <row r="63" spans="1:13" x14ac:dyDescent="0.25">
      <c r="A63" s="14"/>
      <c r="B63" s="14"/>
      <c r="C63" s="24"/>
      <c r="D63" s="6"/>
      <c r="E63" s="6"/>
      <c r="F63" s="6"/>
    </row>
    <row r="64" spans="1:13" x14ac:dyDescent="0.25">
      <c r="A64" s="8"/>
      <c r="B64" s="6"/>
      <c r="C64" s="24"/>
      <c r="D64" s="6"/>
      <c r="E64" s="6"/>
      <c r="F64" s="6"/>
      <c r="M64" s="6"/>
    </row>
    <row r="65" spans="1:13" x14ac:dyDescent="0.25">
      <c r="A65" s="8"/>
      <c r="B65" s="6"/>
      <c r="C65" s="24"/>
      <c r="D65" s="6"/>
      <c r="E65" s="6"/>
      <c r="F65" s="6"/>
      <c r="M65" s="6"/>
    </row>
    <row r="66" spans="1:13" x14ac:dyDescent="0.25">
      <c r="A66" s="8"/>
      <c r="B66" s="6"/>
      <c r="C66" s="24"/>
      <c r="D66" s="6"/>
      <c r="E66" s="6"/>
      <c r="F66" s="6"/>
      <c r="M66" s="6"/>
    </row>
    <row r="67" spans="1:13" x14ac:dyDescent="0.25">
      <c r="A67" s="8"/>
      <c r="B67" s="6"/>
      <c r="C67" s="24"/>
      <c r="D67" s="6"/>
      <c r="E67" s="6"/>
      <c r="F67" s="6"/>
      <c r="M67" s="6"/>
    </row>
    <row r="68" spans="1:13" x14ac:dyDescent="0.25">
      <c r="B68" s="6"/>
      <c r="C68" s="24"/>
      <c r="D68" s="6"/>
      <c r="E68" s="6"/>
      <c r="F68" s="6"/>
      <c r="M68" s="6"/>
    </row>
    <row r="69" spans="1:13" x14ac:dyDescent="0.25">
      <c r="C69" s="24"/>
      <c r="D69" s="6"/>
      <c r="E69" s="6"/>
      <c r="F69" s="6"/>
      <c r="M69" s="6"/>
    </row>
    <row r="70" spans="1:13" x14ac:dyDescent="0.25">
      <c r="C70" s="24"/>
      <c r="D70" s="6"/>
      <c r="E70" s="6"/>
      <c r="F70" s="6"/>
      <c r="M70" s="6"/>
    </row>
    <row r="71" spans="1:13" x14ac:dyDescent="0.25">
      <c r="C71" s="24"/>
      <c r="D71" s="6"/>
      <c r="E71" s="6"/>
      <c r="F71" s="6"/>
      <c r="M71" s="6"/>
    </row>
    <row r="72" spans="1:13" x14ac:dyDescent="0.25">
      <c r="A72" s="6"/>
      <c r="C72" s="24"/>
      <c r="D72" s="6"/>
      <c r="E72" s="6"/>
      <c r="F72" s="6"/>
      <c r="M72" s="6"/>
    </row>
    <row r="73" spans="1:13" x14ac:dyDescent="0.25">
      <c r="A73" s="6"/>
      <c r="B73" s="6"/>
      <c r="C73" s="24"/>
      <c r="D73" s="6"/>
      <c r="E73" s="6"/>
      <c r="F73" s="6"/>
      <c r="M73" s="6"/>
    </row>
    <row r="74" spans="1:13" x14ac:dyDescent="0.25">
      <c r="A74" s="6"/>
      <c r="B74" s="6"/>
      <c r="C74" s="24"/>
      <c r="D74" s="6"/>
      <c r="E74" s="6"/>
      <c r="F74" s="6"/>
      <c r="M74" s="6"/>
    </row>
    <row r="75" spans="1:13" x14ac:dyDescent="0.25">
      <c r="A75" s="6"/>
      <c r="B75" s="6"/>
      <c r="C75" s="24"/>
      <c r="M75" s="6"/>
    </row>
    <row r="76" spans="1:13" x14ac:dyDescent="0.25">
      <c r="A76" s="6"/>
      <c r="B76" s="6"/>
      <c r="C76" s="24"/>
      <c r="M76" s="6"/>
    </row>
    <row r="77" spans="1:13" x14ac:dyDescent="0.25">
      <c r="A77" s="6"/>
      <c r="B77" s="6"/>
      <c r="C77" s="24"/>
      <c r="M77" s="6"/>
    </row>
    <row r="78" spans="1:13" x14ac:dyDescent="0.25">
      <c r="A78" s="6"/>
      <c r="B78" s="6"/>
      <c r="C78" s="24"/>
      <c r="M78" s="6"/>
    </row>
    <row r="79" spans="1:13" x14ac:dyDescent="0.25">
      <c r="A79" s="6"/>
      <c r="B79" s="6"/>
      <c r="C79" s="24"/>
    </row>
    <row r="80" spans="1:13" x14ac:dyDescent="0.25">
      <c r="A80" s="6"/>
      <c r="B80" s="6"/>
      <c r="C80" s="24"/>
      <c r="M80" s="6"/>
    </row>
    <row r="81" spans="1:13" x14ac:dyDescent="0.25">
      <c r="A81" s="6"/>
      <c r="B81" s="6"/>
      <c r="C81" s="24"/>
    </row>
    <row r="82" spans="1:13" x14ac:dyDescent="0.25">
      <c r="A82" s="6"/>
      <c r="B82" s="6"/>
      <c r="C82" s="24"/>
    </row>
    <row r="83" spans="1:13" x14ac:dyDescent="0.25">
      <c r="A83" s="6"/>
      <c r="B83" s="6"/>
      <c r="C83" s="24"/>
      <c r="M83" s="6"/>
    </row>
    <row r="84" spans="1:13" x14ac:dyDescent="0.25">
      <c r="A84" s="6"/>
      <c r="B84" s="6"/>
      <c r="C84" s="24"/>
      <c r="M84" s="6"/>
    </row>
    <row r="85" spans="1:13" x14ac:dyDescent="0.25">
      <c r="A85" s="6"/>
      <c r="B85" s="6"/>
      <c r="C85" s="24"/>
      <c r="M85" s="6"/>
    </row>
    <row r="86" spans="1:13" x14ac:dyDescent="0.25">
      <c r="A86" s="6"/>
      <c r="B86" s="6"/>
      <c r="C86" s="24"/>
      <c r="M86" s="6"/>
    </row>
    <row r="87" spans="1:13" x14ac:dyDescent="0.25">
      <c r="C87" s="24"/>
      <c r="M87" s="6"/>
    </row>
    <row r="88" spans="1:13" x14ac:dyDescent="0.25">
      <c r="C88" s="24"/>
      <c r="M88" s="6"/>
    </row>
    <row r="89" spans="1:13" x14ac:dyDescent="0.25">
      <c r="C89" s="24"/>
      <c r="M89" s="6"/>
    </row>
    <row r="90" spans="1:13" x14ac:dyDescent="0.25">
      <c r="C90" s="24"/>
      <c r="M90" s="6"/>
    </row>
    <row r="91" spans="1:13" x14ac:dyDescent="0.25">
      <c r="C91" s="24"/>
      <c r="M91" s="6"/>
    </row>
    <row r="92" spans="1:13" x14ac:dyDescent="0.25">
      <c r="C92" s="24"/>
      <c r="M92" s="6"/>
    </row>
    <row r="93" spans="1:13" x14ac:dyDescent="0.25">
      <c r="C93" s="24"/>
    </row>
    <row r="94" spans="1:13" x14ac:dyDescent="0.25">
      <c r="C94" s="24"/>
    </row>
  </sheetData>
  <sheetProtection algorithmName="SHA-512" hashValue="9W24BI3wf2blkeuRZ/as26Ah19xlGe/63VPxCwSC0ExlhWn/eUU4xTcu7zYKG0onqCxmtC90KWqdjpMFxuJb6w==" saltValue="7HIoOcMFktNr4gr6Fg1Fhg==" spinCount="100000" sheet="1" selectLockedCells="1"/>
  <mergeCells count="1">
    <mergeCell ref="B12:G12"/>
  </mergeCells>
  <hyperlinks>
    <hyperlink ref="A76" r:id="rId1" display="https://intranet.ku.dk/sund/uddannelse/undervisning/normkatalog/Documents/Undervisnings-eksamens-vejledningsnormer%20samlet%20sept2013-jan2014.pdf " xr:uid="{00000000-0004-0000-0000-000000000000}"/>
    <hyperlink ref="B31" r:id="rId2" xr:uid="{00000000-0004-0000-0000-000001000000}"/>
    <hyperlink ref="B34" r:id="rId3" xr:uid="{00000000-0004-0000-0000-000002000000}"/>
    <hyperlink ref="B30" r:id="rId4" xr:uid="{00000000-0004-0000-0000-000003000000}"/>
  </hyperlinks>
  <pageMargins left="0.70866141732283472" right="0.70866141732283472" top="0.74803149606299213" bottom="0.74803149606299213" header="0.31496062992125984" footer="0.31496062992125984"/>
  <pageSetup paperSize="9" scale="81" orientation="portrait" r:id="rId5"/>
  <headerFooter alignWithMargins="0">
    <oddHeader>&amp;C&amp;"Calibri,Regular"&amp;11&amp;F&amp;R&amp;"Calibri,Regular"&amp;11&amp;D; &amp;T</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pageSetUpPr fitToPage="1"/>
  </sheetPr>
  <dimension ref="A1:AL101"/>
  <sheetViews>
    <sheetView zoomScaleNormal="100" workbookViewId="0">
      <pane ySplit="1" topLeftCell="A2" activePane="bottomLeft" state="frozen"/>
      <selection pane="bottomLeft" activeCell="B25" sqref="B25:D25"/>
    </sheetView>
  </sheetViews>
  <sheetFormatPr defaultColWidth="9.33203125" defaultRowHeight="15" x14ac:dyDescent="0.25"/>
  <cols>
    <col min="1" max="1" width="5.83203125" style="1" customWidth="1"/>
    <col min="2" max="2" width="32.83203125" style="1" customWidth="1"/>
    <col min="3" max="4" width="7" style="1" customWidth="1"/>
    <col min="5" max="5" width="7.33203125" style="1" customWidth="1"/>
    <col min="6" max="6" width="0.6640625" style="1" customWidth="1"/>
    <col min="7" max="7" width="6" style="1" customWidth="1"/>
    <col min="8" max="8" width="35.6640625" style="1" customWidth="1"/>
    <col min="9" max="9" width="10.1640625" style="1" customWidth="1"/>
    <col min="10" max="10" width="8.6640625" style="1" customWidth="1"/>
    <col min="11" max="11" width="9" style="1" customWidth="1"/>
    <col min="12" max="12" width="8.33203125" style="1" customWidth="1"/>
    <col min="13" max="13" width="1.1640625" style="1" customWidth="1"/>
    <col min="14" max="14" width="4" style="1" customWidth="1"/>
    <col min="15" max="15" width="45.5" style="1" customWidth="1"/>
    <col min="16" max="16" width="8.83203125" style="1" customWidth="1"/>
    <col min="17" max="17" width="6.5" style="1" customWidth="1"/>
    <col min="18" max="18" width="6" style="1" customWidth="1"/>
    <col min="19" max="19" width="8.6640625" style="1" customWidth="1"/>
    <col min="20" max="20" width="6.33203125" style="1" customWidth="1"/>
    <col min="21" max="23" width="6.6640625" style="1" customWidth="1"/>
    <col min="24" max="24" width="7.5" style="1" customWidth="1"/>
    <col min="25" max="26" width="6.83203125" style="1" customWidth="1"/>
    <col min="27" max="27" width="9.33203125" style="1"/>
    <col min="28" max="28" width="14" style="25" customWidth="1"/>
    <col min="29" max="29" width="13.5" style="1" customWidth="1"/>
    <col min="30" max="30" width="9.83203125" style="1" customWidth="1"/>
    <col min="31" max="16384" width="9.33203125" style="1"/>
  </cols>
  <sheetData>
    <row r="1" spans="1:38" x14ac:dyDescent="0.25">
      <c r="A1" s="14"/>
      <c r="B1" s="14"/>
      <c r="C1" s="14" t="s">
        <v>71</v>
      </c>
      <c r="D1" s="14"/>
      <c r="E1" s="22" t="s">
        <v>87</v>
      </c>
      <c r="F1" s="54"/>
      <c r="G1" s="6"/>
      <c r="H1" s="102"/>
      <c r="I1" s="14" t="s">
        <v>85</v>
      </c>
      <c r="J1" s="14" t="s">
        <v>88</v>
      </c>
      <c r="K1" s="14" t="s">
        <v>74</v>
      </c>
      <c r="L1" s="22" t="s">
        <v>87</v>
      </c>
      <c r="M1" s="7"/>
      <c r="O1" s="139" t="s">
        <v>335</v>
      </c>
      <c r="P1" s="139" t="s">
        <v>318</v>
      </c>
      <c r="Q1" s="139" t="s">
        <v>319</v>
      </c>
      <c r="R1" s="139" t="s">
        <v>10</v>
      </c>
      <c r="S1" s="175" t="s">
        <v>248</v>
      </c>
      <c r="T1" s="176"/>
      <c r="U1" s="137" t="s">
        <v>324</v>
      </c>
      <c r="V1" s="175" t="s">
        <v>325</v>
      </c>
      <c r="W1" s="176"/>
      <c r="X1" s="137" t="s">
        <v>321</v>
      </c>
      <c r="Y1" s="137" t="s">
        <v>320</v>
      </c>
      <c r="Z1" s="138" t="s">
        <v>322</v>
      </c>
      <c r="AA1" s="139" t="s">
        <v>323</v>
      </c>
      <c r="AB1" s="28" t="s">
        <v>338</v>
      </c>
      <c r="AC1" s="28" t="s">
        <v>337</v>
      </c>
      <c r="AE1" s="177" t="s">
        <v>0</v>
      </c>
      <c r="AF1" s="178"/>
      <c r="AL1" s="6"/>
    </row>
    <row r="2" spans="1:38" ht="15.75" thickBot="1" x14ac:dyDescent="0.3">
      <c r="A2" s="58"/>
      <c r="B2" s="58" t="s">
        <v>66</v>
      </c>
      <c r="C2" s="56"/>
      <c r="D2" s="56"/>
      <c r="E2" s="56"/>
      <c r="F2" s="56"/>
      <c r="G2" s="56"/>
      <c r="H2" s="67" t="s">
        <v>67</v>
      </c>
      <c r="I2" s="56"/>
      <c r="J2" s="56"/>
      <c r="K2" s="56"/>
      <c r="L2" s="56"/>
      <c r="M2" s="56"/>
      <c r="N2" s="8">
        <v>1</v>
      </c>
      <c r="O2" s="6" t="s">
        <v>92</v>
      </c>
      <c r="P2" s="6" t="s">
        <v>14</v>
      </c>
      <c r="Q2" s="84" t="s">
        <v>6</v>
      </c>
      <c r="R2" s="6">
        <v>1.1000000000000001</v>
      </c>
      <c r="S2" s="1" t="s">
        <v>329</v>
      </c>
      <c r="T2" s="7">
        <v>0</v>
      </c>
      <c r="U2" s="7">
        <v>0</v>
      </c>
      <c r="V2" s="7">
        <v>0</v>
      </c>
      <c r="W2" s="15">
        <f t="shared" ref="W2:W7" si="0">V2/60</f>
        <v>0</v>
      </c>
      <c r="X2" s="7">
        <v>0</v>
      </c>
      <c r="Y2" s="7">
        <v>0</v>
      </c>
      <c r="Z2" s="7">
        <f>SUM(X2:Y2)</f>
        <v>0</v>
      </c>
      <c r="AA2" s="4" t="s">
        <v>2</v>
      </c>
      <c r="AB2" s="24"/>
      <c r="AC2" s="156" t="s">
        <v>524</v>
      </c>
      <c r="AE2" s="2">
        <v>1</v>
      </c>
      <c r="AF2" s="3">
        <v>1</v>
      </c>
      <c r="AL2" s="6"/>
    </row>
    <row r="3" spans="1:38" ht="15.75" thickBot="1" x14ac:dyDescent="0.3">
      <c r="A3" s="76"/>
      <c r="B3" s="54" t="str">
        <f>IF(A3="","← Choose # in ACTIVITY TABLE",VLOOKUP(A3,AKTIVITET,2,FALSE))</f>
        <v>← Choose # in ACTIVITY TABLE</v>
      </c>
      <c r="C3" s="55"/>
      <c r="D3" s="55"/>
      <c r="E3" s="56"/>
      <c r="F3" s="56"/>
      <c r="G3" s="76"/>
      <c r="H3" s="54" t="str">
        <f>IF(G3="","← Choose # in ACTIVITY TABLE",VLOOKUP(G3,AKTIVITET,2,FALSE))</f>
        <v>← Choose # in ACTIVITY TABLE</v>
      </c>
      <c r="I3" s="60" t="str">
        <f>IF(I4&gt;100,"↓max 100%","")</f>
        <v/>
      </c>
      <c r="J3" s="54"/>
      <c r="K3" s="57"/>
      <c r="L3" s="61"/>
      <c r="M3" s="56"/>
      <c r="N3" s="8">
        <v>2</v>
      </c>
      <c r="O3" s="6" t="s">
        <v>93</v>
      </c>
      <c r="P3" s="6" t="s">
        <v>14</v>
      </c>
      <c r="Q3" s="84" t="s">
        <v>6</v>
      </c>
      <c r="R3" s="6">
        <v>1.2</v>
      </c>
      <c r="S3" s="6" t="s">
        <v>328</v>
      </c>
      <c r="T3" s="7">
        <v>4</v>
      </c>
      <c r="U3" s="7">
        <f>130+100</f>
        <v>230</v>
      </c>
      <c r="V3" s="7">
        <v>30</v>
      </c>
      <c r="W3" s="15">
        <f t="shared" si="0"/>
        <v>0.5</v>
      </c>
      <c r="X3" s="7">
        <v>15</v>
      </c>
      <c r="Y3" s="7">
        <v>10</v>
      </c>
      <c r="Z3" s="7">
        <f t="shared" ref="Z3:Z17" si="1">SUM(X3:Y3)</f>
        <v>25</v>
      </c>
      <c r="AA3" s="140" t="s">
        <v>90</v>
      </c>
      <c r="AB3" s="1" t="s">
        <v>339</v>
      </c>
      <c r="AC3" s="156" t="s">
        <v>354</v>
      </c>
      <c r="AE3" s="2">
        <v>2</v>
      </c>
      <c r="AF3" s="3">
        <v>1.1499999999999999</v>
      </c>
      <c r="AL3" s="6"/>
    </row>
    <row r="4" spans="1:38" ht="15.75" thickBot="1" x14ac:dyDescent="0.3">
      <c r="A4" s="75"/>
      <c r="B4" s="54" t="str">
        <f>IF(A3="","","Lectures")</f>
        <v/>
      </c>
      <c r="C4" s="57" t="str">
        <f>IF($A$3="","",6)</f>
        <v/>
      </c>
      <c r="D4" s="57"/>
      <c r="E4" s="56" t="str">
        <f>IF($A$3="","",A4*C4)</f>
        <v/>
      </c>
      <c r="F4" s="56"/>
      <c r="G4" s="79"/>
      <c r="H4" s="62" t="str">
        <f>IF(G3="","",CONCATENATE("= # of stud. ",VLOOKUP(G3,AKTIVITET,6,FALSE),IF(VLOOKUP(G3,AKTIVITET,4,FALSE)="Oral",""," Your share% =")))</f>
        <v/>
      </c>
      <c r="I4" s="51">
        <v>100</v>
      </c>
      <c r="J4" s="56" t="str">
        <f>IF(G3="","",VLOOKUP(G3,AKTIVITET,7,FALSE))</f>
        <v/>
      </c>
      <c r="K4" s="56" t="str">
        <f>IF(G3="","",VLOOKUP(G3,AKTIVITET,10,FALSE))</f>
        <v/>
      </c>
      <c r="L4" s="56" t="str">
        <f>IF(G3="","",IF(H3="OSCE",8,G4*I4/100*K4))</f>
        <v/>
      </c>
      <c r="M4" s="56"/>
      <c r="N4" s="8">
        <v>3</v>
      </c>
      <c r="O4" s="6" t="s">
        <v>94</v>
      </c>
      <c r="P4" s="6" t="s">
        <v>14</v>
      </c>
      <c r="Q4" s="84" t="s">
        <v>6</v>
      </c>
      <c r="R4" s="6">
        <v>1.3</v>
      </c>
      <c r="S4" s="6" t="s">
        <v>326</v>
      </c>
      <c r="T4" s="109">
        <f>20/60</f>
        <v>0.33333333333333331</v>
      </c>
      <c r="U4" s="7">
        <v>0.5</v>
      </c>
      <c r="V4" s="7">
        <v>40</v>
      </c>
      <c r="W4" s="15">
        <f t="shared" si="0"/>
        <v>0.66666666666666663</v>
      </c>
      <c r="X4" s="7">
        <v>2.5</v>
      </c>
      <c r="Y4" s="7">
        <v>2.5</v>
      </c>
      <c r="Z4" s="7">
        <f t="shared" si="1"/>
        <v>5</v>
      </c>
      <c r="AA4" s="6" t="s">
        <v>4</v>
      </c>
      <c r="AB4" s="156" t="s">
        <v>516</v>
      </c>
      <c r="AC4" s="156" t="s">
        <v>515</v>
      </c>
      <c r="AE4" s="9">
        <v>3</v>
      </c>
      <c r="AF4" s="10">
        <v>1.3</v>
      </c>
      <c r="AL4" s="6"/>
    </row>
    <row r="5" spans="1:38" ht="15.75" thickBot="1" x14ac:dyDescent="0.3">
      <c r="A5" s="53"/>
      <c r="B5" s="54" t="str">
        <f>IF(A3="","","SAU24 class room teaching")</f>
        <v/>
      </c>
      <c r="C5" s="57" t="str">
        <f>IF($A$3="","",3.5)</f>
        <v/>
      </c>
      <c r="D5" s="57"/>
      <c r="E5" s="56" t="str">
        <f>IF($A$3="","",A5*C5)</f>
        <v/>
      </c>
      <c r="F5" s="56"/>
      <c r="G5" s="78"/>
      <c r="H5" s="54" t="str">
        <f>IF(G5="","← Choose # in ACTIVITY TABLE",VLOOKUP(G5,AKTIVITET,2,FALSE))</f>
        <v>← Choose # in ACTIVITY TABLE</v>
      </c>
      <c r="I5" s="60" t="str">
        <f>IF(I6&gt;100,"↓max 100%","")</f>
        <v/>
      </c>
      <c r="J5" s="54"/>
      <c r="K5" s="54"/>
      <c r="L5" s="56"/>
      <c r="M5" s="56"/>
      <c r="N5" s="8">
        <v>4</v>
      </c>
      <c r="O5" s="141" t="s">
        <v>53</v>
      </c>
      <c r="P5" s="6" t="s">
        <v>14</v>
      </c>
      <c r="Q5" s="84" t="s">
        <v>6</v>
      </c>
      <c r="R5" s="141">
        <v>2.1</v>
      </c>
      <c r="S5" s="141" t="s">
        <v>328</v>
      </c>
      <c r="T5" s="143">
        <f>5-0.5-0.833</f>
        <v>3.6669999999999998</v>
      </c>
      <c r="U5" s="143">
        <f>130*12.5/15</f>
        <v>108.33333333333333</v>
      </c>
      <c r="V5" s="143">
        <v>25</v>
      </c>
      <c r="W5" s="144">
        <f t="shared" si="0"/>
        <v>0.41666666666666669</v>
      </c>
      <c r="X5" s="145">
        <v>12.5</v>
      </c>
      <c r="Y5" s="145">
        <v>0</v>
      </c>
      <c r="Z5" s="145">
        <f t="shared" si="1"/>
        <v>12.5</v>
      </c>
      <c r="AA5" s="141" t="s">
        <v>2</v>
      </c>
      <c r="AB5" s="6"/>
      <c r="AC5" s="156" t="s">
        <v>358</v>
      </c>
      <c r="AE5" s="9">
        <v>4</v>
      </c>
      <c r="AF5" s="10">
        <v>1.3</v>
      </c>
      <c r="AL5" s="6"/>
    </row>
    <row r="6" spans="1:38" ht="15.75" thickBot="1" x14ac:dyDescent="0.3">
      <c r="A6" s="53"/>
      <c r="B6" s="54" t="str">
        <f>IF(A3="","","SAU12 students exercises")</f>
        <v/>
      </c>
      <c r="C6" s="57" t="str">
        <f>IF($A$3="","",2.5)</f>
        <v/>
      </c>
      <c r="D6" s="57"/>
      <c r="E6" s="56" t="str">
        <f>IF($A$3="","",A6*C6)</f>
        <v/>
      </c>
      <c r="F6" s="56"/>
      <c r="G6" s="79"/>
      <c r="H6" s="62" t="str">
        <f>IF(G5="","",CONCATENATE("= # of stud. ",VLOOKUP(G5,AKTIVITET,6,FALSE),IF(VLOOKUP(G5,AKTIVITET,4,FALSE)="Oral",""," Your share% =")))</f>
        <v/>
      </c>
      <c r="I6" s="51">
        <v>100</v>
      </c>
      <c r="J6" s="56" t="str">
        <f>IF(G5="","",VLOOKUP(G5,AKTIVITET,7,FALSE))</f>
        <v/>
      </c>
      <c r="K6" s="56" t="str">
        <f>IF(G5="","",VLOOKUP(G5,AKTIVITET,10,FALSE))</f>
        <v/>
      </c>
      <c r="L6" s="56" t="str">
        <f>IF(G5="","",IF(H5="OSCE",8,G6*I6/100*K6))</f>
        <v/>
      </c>
      <c r="M6" s="56"/>
      <c r="N6" s="8">
        <v>5</v>
      </c>
      <c r="O6" s="141" t="s">
        <v>54</v>
      </c>
      <c r="P6" s="6" t="s">
        <v>14</v>
      </c>
      <c r="Q6" s="84" t="s">
        <v>6</v>
      </c>
      <c r="R6" s="141">
        <v>2.2000000000000002</v>
      </c>
      <c r="S6" s="141" t="s">
        <v>84</v>
      </c>
      <c r="T6" s="143">
        <f>30/60</f>
        <v>0.5</v>
      </c>
      <c r="U6" s="145">
        <v>50</v>
      </c>
      <c r="V6" s="143">
        <v>30</v>
      </c>
      <c r="W6" s="144">
        <f t="shared" si="0"/>
        <v>0.5</v>
      </c>
      <c r="X6" s="143">
        <v>0</v>
      </c>
      <c r="Y6" s="143">
        <v>0</v>
      </c>
      <c r="Z6" s="143">
        <f t="shared" si="1"/>
        <v>0</v>
      </c>
      <c r="AA6" s="141" t="s">
        <v>2</v>
      </c>
      <c r="AB6" s="6"/>
      <c r="AE6" s="9">
        <v>5</v>
      </c>
      <c r="AF6" s="10">
        <v>1.3</v>
      </c>
      <c r="AL6" s="6"/>
    </row>
    <row r="7" spans="1:38" ht="15.75" thickBot="1" x14ac:dyDescent="0.3">
      <c r="A7" s="77"/>
      <c r="B7" s="54" t="str">
        <f>IF(A3="","","Presence")</f>
        <v/>
      </c>
      <c r="C7" s="57" t="str">
        <f>IF($A$3="","",1)</f>
        <v/>
      </c>
      <c r="D7" s="57"/>
      <c r="E7" s="56" t="str">
        <f>IF($A$3="","",A7*C7)</f>
        <v/>
      </c>
      <c r="F7" s="56"/>
      <c r="G7" s="78"/>
      <c r="H7" s="54" t="str">
        <f>IF(G7="","← Choose # in ACTIVITY TABLE",VLOOKUP(G7,AKTIVITET,2,FALSE))</f>
        <v>← Choose # in ACTIVITY TABLE</v>
      </c>
      <c r="I7" s="60" t="str">
        <f>IF(I8&gt;100,"↓max 100%","")</f>
        <v/>
      </c>
      <c r="J7" s="54"/>
      <c r="K7" s="54"/>
      <c r="L7" s="56"/>
      <c r="M7" s="56"/>
      <c r="N7" s="8">
        <v>6</v>
      </c>
      <c r="O7" s="141" t="s">
        <v>55</v>
      </c>
      <c r="P7" s="6" t="s">
        <v>14</v>
      </c>
      <c r="Q7" s="84" t="s">
        <v>6</v>
      </c>
      <c r="R7" s="141">
        <v>2.2999999999999998</v>
      </c>
      <c r="S7" s="141" t="s">
        <v>328</v>
      </c>
      <c r="T7" s="143">
        <f>50/60</f>
        <v>0.83333333333333337</v>
      </c>
      <c r="U7" s="143">
        <f>130*2.5/15</f>
        <v>21.666666666666668</v>
      </c>
      <c r="V7" s="143">
        <v>15</v>
      </c>
      <c r="W7" s="144">
        <f t="shared" si="0"/>
        <v>0.25</v>
      </c>
      <c r="X7" s="145">
        <v>2.5</v>
      </c>
      <c r="Y7" s="145">
        <v>0</v>
      </c>
      <c r="Z7" s="145">
        <f t="shared" si="1"/>
        <v>2.5</v>
      </c>
      <c r="AA7" s="141" t="s">
        <v>227</v>
      </c>
      <c r="AB7" s="6"/>
      <c r="AC7" s="156" t="s">
        <v>481</v>
      </c>
      <c r="AE7" s="23">
        <v>6</v>
      </c>
      <c r="AF7" s="12">
        <v>1.3</v>
      </c>
      <c r="AL7" s="6"/>
    </row>
    <row r="8" spans="1:38" ht="15.75" thickBot="1" x14ac:dyDescent="0.3">
      <c r="A8" s="76"/>
      <c r="B8" s="54" t="str">
        <f>IF(A8="","← Choose # in ACTIVITY TABLE",VLOOKUP(A8,AKTIVITET,2,FALSE))</f>
        <v>← Choose # in ACTIVITY TABLE</v>
      </c>
      <c r="C8" s="54"/>
      <c r="D8" s="54"/>
      <c r="E8" s="54"/>
      <c r="F8" s="56"/>
      <c r="G8" s="80"/>
      <c r="H8" s="62" t="str">
        <f>IF(G7="","",CONCATENATE("= # of stud. ",VLOOKUP(G7,AKTIVITET,6,FALSE),IF(VLOOKUP(G7,AKTIVITET,4,FALSE)="Oral",""," Your share% =")))</f>
        <v/>
      </c>
      <c r="I8" s="51">
        <v>100</v>
      </c>
      <c r="J8" s="56" t="str">
        <f>IF(G7="","",VLOOKUP(G7,AKTIVITET,7,FALSE))</f>
        <v/>
      </c>
      <c r="K8" s="56" t="str">
        <f>IF(G7="","",VLOOKUP(G7,AKTIVITET,10,FALSE))</f>
        <v/>
      </c>
      <c r="L8" s="56" t="str">
        <f>IF(G7="","",IF(H7="OSCE",8,G8*I8/100*K8))</f>
        <v/>
      </c>
      <c r="M8" s="56"/>
      <c r="N8" s="8">
        <v>7</v>
      </c>
      <c r="O8" s="142" t="s">
        <v>56</v>
      </c>
      <c r="P8" s="6" t="s">
        <v>14</v>
      </c>
      <c r="Q8" s="84" t="s">
        <v>6</v>
      </c>
      <c r="R8" s="36">
        <v>2.4</v>
      </c>
      <c r="S8" s="36" t="s">
        <v>84</v>
      </c>
      <c r="T8" s="38">
        <v>5</v>
      </c>
      <c r="U8" s="38">
        <f>130+50</f>
        <v>180</v>
      </c>
      <c r="V8" s="38">
        <v>75</v>
      </c>
      <c r="W8" s="39">
        <f t="shared" ref="W8:W23" si="2">V8/60</f>
        <v>1.25</v>
      </c>
      <c r="X8" s="38">
        <v>15</v>
      </c>
      <c r="Y8" s="38">
        <v>0</v>
      </c>
      <c r="Z8" s="38">
        <f t="shared" si="1"/>
        <v>15</v>
      </c>
      <c r="AA8" s="36"/>
      <c r="AB8" s="156" t="s">
        <v>353</v>
      </c>
      <c r="AC8" s="156" t="s">
        <v>353</v>
      </c>
      <c r="AD8" s="6"/>
      <c r="AL8" s="6"/>
    </row>
    <row r="9" spans="1:38" ht="15.75" thickBot="1" x14ac:dyDescent="0.3">
      <c r="A9" s="75"/>
      <c r="B9" s="54" t="str">
        <f>IF(A8="","","Lectures")</f>
        <v/>
      </c>
      <c r="C9" s="57" t="str">
        <f>IF($A$8="","",6)</f>
        <v/>
      </c>
      <c r="D9" s="57"/>
      <c r="E9" s="56" t="str">
        <f>IF($A$8="","",A9*C9)</f>
        <v/>
      </c>
      <c r="F9" s="56"/>
      <c r="G9" s="78"/>
      <c r="H9" s="54" t="str">
        <f>IF(G9="","← Choose # in ACTIVITY TABLE",VLOOKUP(G9,AKTIVITET,2,FALSE))</f>
        <v>← Choose # in ACTIVITY TABLE</v>
      </c>
      <c r="I9" s="60" t="str">
        <f>IF(I10&gt;100,"↓max 100%","")</f>
        <v/>
      </c>
      <c r="J9" s="54"/>
      <c r="K9" s="54"/>
      <c r="L9" s="56"/>
      <c r="M9" s="56"/>
      <c r="N9" s="8">
        <v>8</v>
      </c>
      <c r="O9" s="6" t="s">
        <v>48</v>
      </c>
      <c r="P9" s="6" t="s">
        <v>14</v>
      </c>
      <c r="Q9" s="84" t="s">
        <v>6</v>
      </c>
      <c r="R9" s="6">
        <v>2.5</v>
      </c>
      <c r="S9" s="6" t="s">
        <v>84</v>
      </c>
      <c r="T9" s="7">
        <v>2</v>
      </c>
      <c r="U9" s="7">
        <v>70</v>
      </c>
      <c r="V9" s="7">
        <v>30</v>
      </c>
      <c r="W9" s="15">
        <f t="shared" si="2"/>
        <v>0.5</v>
      </c>
      <c r="X9" s="7">
        <v>2.5</v>
      </c>
      <c r="Y9" s="7">
        <v>2.5</v>
      </c>
      <c r="Z9" s="7">
        <f t="shared" si="1"/>
        <v>5</v>
      </c>
      <c r="AA9" s="6" t="s">
        <v>2</v>
      </c>
      <c r="AB9" s="156" t="s">
        <v>340</v>
      </c>
      <c r="AC9" s="156" t="s">
        <v>361</v>
      </c>
      <c r="AD9" s="6"/>
      <c r="AL9" s="6"/>
    </row>
    <row r="10" spans="1:38" ht="15.75" thickBot="1" x14ac:dyDescent="0.3">
      <c r="A10" s="53"/>
      <c r="B10" s="54" t="str">
        <f>IF(A8="","","SAU24 class room teaching")</f>
        <v/>
      </c>
      <c r="C10" s="57" t="str">
        <f>IF($A$8="","",3.5)</f>
        <v/>
      </c>
      <c r="D10" s="57"/>
      <c r="E10" s="56" t="str">
        <f>IF($A$8="","",A10*C10)</f>
        <v/>
      </c>
      <c r="F10" s="56"/>
      <c r="G10" s="79"/>
      <c r="H10" s="62" t="str">
        <f>IF(G9="","",CONCATENATE("= # of stud. ",VLOOKUP(G9,AKTIVITET,6,FALSE),IF(VLOOKUP(G9,AKTIVITET,4,FALSE)="Oral",""," Your share% =")))</f>
        <v/>
      </c>
      <c r="I10" s="51">
        <v>100</v>
      </c>
      <c r="J10" s="56" t="str">
        <f>IF(G9="","",VLOOKUP(G9,AKTIVITET,7,FALSE))</f>
        <v/>
      </c>
      <c r="K10" s="56" t="str">
        <f>IF(G9="","",VLOOKUP(G9,AKTIVITET,10,FALSE))</f>
        <v/>
      </c>
      <c r="L10" s="56" t="str">
        <f>IF(G9="","",IF(H9="OSCE",8,G10*I10/100*K10))</f>
        <v/>
      </c>
      <c r="M10" s="56"/>
      <c r="N10" s="8">
        <v>9</v>
      </c>
      <c r="O10" s="6" t="s">
        <v>95</v>
      </c>
      <c r="P10" s="6" t="s">
        <v>14</v>
      </c>
      <c r="Q10" s="84" t="s">
        <v>6</v>
      </c>
      <c r="R10" s="6">
        <v>2.6</v>
      </c>
      <c r="S10" s="6" t="s">
        <v>84</v>
      </c>
      <c r="T10" s="7">
        <v>3</v>
      </c>
      <c r="U10" s="7">
        <v>70</v>
      </c>
      <c r="V10" s="7">
        <v>30</v>
      </c>
      <c r="W10" s="15">
        <f t="shared" si="2"/>
        <v>0.5</v>
      </c>
      <c r="X10" s="7">
        <v>0</v>
      </c>
      <c r="Y10" s="7">
        <v>5</v>
      </c>
      <c r="Z10" s="7">
        <f t="shared" si="1"/>
        <v>5</v>
      </c>
      <c r="AA10" s="6" t="s">
        <v>4</v>
      </c>
      <c r="AB10" s="6"/>
      <c r="AC10" s="156" t="s">
        <v>517</v>
      </c>
      <c r="AD10" s="6"/>
      <c r="AE10" s="6"/>
      <c r="AL10" s="6"/>
    </row>
    <row r="11" spans="1:38" ht="15.75" thickBot="1" x14ac:dyDescent="0.3">
      <c r="A11" s="53"/>
      <c r="B11" s="54" t="str">
        <f>IF(A8="","","SAU12 students exercises")</f>
        <v/>
      </c>
      <c r="C11" s="57" t="str">
        <f>IF($A$8="","",2.5)</f>
        <v/>
      </c>
      <c r="D11" s="57"/>
      <c r="E11" s="56" t="str">
        <f>IF($A$8="","",A11*C11)</f>
        <v/>
      </c>
      <c r="F11" s="56"/>
      <c r="G11" s="78"/>
      <c r="H11" s="54" t="str">
        <f>IF(G11="","← Choose # in ACTIVITY TABLE",VLOOKUP(G11,AKTIVITET,2,FALSE))</f>
        <v>← Choose # in ACTIVITY TABLE</v>
      </c>
      <c r="I11" s="60" t="str">
        <f>IF(I12&gt;100,"↓max 100%","")</f>
        <v/>
      </c>
      <c r="J11" s="54"/>
      <c r="K11" s="54"/>
      <c r="L11" s="56"/>
      <c r="M11" s="56"/>
      <c r="N11" s="8">
        <v>10</v>
      </c>
      <c r="O11" s="6" t="s">
        <v>96</v>
      </c>
      <c r="P11" s="6" t="s">
        <v>14</v>
      </c>
      <c r="Q11" s="84" t="s">
        <v>6</v>
      </c>
      <c r="R11" s="6">
        <v>3.1</v>
      </c>
      <c r="S11" s="6" t="s">
        <v>326</v>
      </c>
      <c r="T11" s="7">
        <f>35/60</f>
        <v>0.58333333333333337</v>
      </c>
      <c r="U11" s="7">
        <v>0.5</v>
      </c>
      <c r="V11" s="7">
        <v>40</v>
      </c>
      <c r="W11" s="15">
        <f t="shared" si="2"/>
        <v>0.66666666666666663</v>
      </c>
      <c r="X11" s="7">
        <v>12.5</v>
      </c>
      <c r="Y11" s="7">
        <v>5</v>
      </c>
      <c r="Z11" s="7">
        <f t="shared" si="1"/>
        <v>17.5</v>
      </c>
      <c r="AA11" s="6" t="s">
        <v>2</v>
      </c>
      <c r="AB11" s="156" t="s">
        <v>346</v>
      </c>
      <c r="AC11" s="156" t="s">
        <v>357</v>
      </c>
      <c r="AD11" s="6"/>
      <c r="AE11" s="6"/>
      <c r="AL11" s="6"/>
    </row>
    <row r="12" spans="1:38" ht="15.75" thickBot="1" x14ac:dyDescent="0.3">
      <c r="A12" s="77"/>
      <c r="B12" s="54" t="str">
        <f>IF(A8="","","Presence")</f>
        <v/>
      </c>
      <c r="C12" s="57" t="str">
        <f>IF($A$8="","",1)</f>
        <v/>
      </c>
      <c r="D12" s="57"/>
      <c r="E12" s="56" t="str">
        <f>IF($A$8="","",A12*C12)</f>
        <v/>
      </c>
      <c r="F12" s="56"/>
      <c r="G12" s="75"/>
      <c r="H12" s="62" t="str">
        <f>IF(G11="","",CONCATENATE("= # of stud. ",VLOOKUP(G11,AKTIVITET,6,FALSE),IF(VLOOKUP(G11,AKTIVITET,4,FALSE)="Oral",""," Your share% =")))</f>
        <v/>
      </c>
      <c r="I12" s="51">
        <v>100</v>
      </c>
      <c r="J12" s="56" t="str">
        <f>IF(G11="","",VLOOKUP(G11,AKTIVITET,7,FALSE))</f>
        <v/>
      </c>
      <c r="K12" s="56" t="str">
        <f>IF(G11="","",VLOOKUP(G11,AKTIVITET,10,FALSE))</f>
        <v/>
      </c>
      <c r="L12" s="56" t="str">
        <f>IF(G11="","",IF(H11="OSCE",8,G12*I12/100*K12))</f>
        <v/>
      </c>
      <c r="M12" s="56"/>
      <c r="N12" s="8">
        <v>11</v>
      </c>
      <c r="O12" s="6" t="s">
        <v>97</v>
      </c>
      <c r="P12" s="6" t="s">
        <v>14</v>
      </c>
      <c r="Q12" s="84" t="s">
        <v>6</v>
      </c>
      <c r="R12" s="6">
        <v>3.2</v>
      </c>
      <c r="S12" s="6" t="s">
        <v>84</v>
      </c>
      <c r="T12" s="7">
        <v>1</v>
      </c>
      <c r="U12" s="7">
        <v>50</v>
      </c>
      <c r="V12" s="7">
        <v>30</v>
      </c>
      <c r="W12" s="15">
        <f t="shared" si="2"/>
        <v>0.5</v>
      </c>
      <c r="X12" s="13">
        <v>2.5</v>
      </c>
      <c r="Y12" s="7">
        <v>0</v>
      </c>
      <c r="Z12" s="7">
        <f t="shared" si="1"/>
        <v>2.5</v>
      </c>
      <c r="AA12" s="6" t="s">
        <v>2</v>
      </c>
      <c r="AB12" s="24"/>
      <c r="AC12" s="6"/>
      <c r="AD12" s="6"/>
      <c r="AE12" s="6"/>
      <c r="AL12" s="6"/>
    </row>
    <row r="13" spans="1:38" ht="15.75" thickBot="1" x14ac:dyDescent="0.3">
      <c r="A13" s="76"/>
      <c r="B13" s="54" t="str">
        <f>IF(A13="","← Choose # in ACTIVITY TABLE",VLOOKUP(A13,AKTIVITET,2,FALSE))</f>
        <v>← Choose # in ACTIVITY TABLE</v>
      </c>
      <c r="C13" s="54"/>
      <c r="D13" s="54"/>
      <c r="E13" s="56"/>
      <c r="F13" s="56"/>
      <c r="G13" s="54"/>
      <c r="H13" s="67" t="s">
        <v>75</v>
      </c>
      <c r="I13" s="54"/>
      <c r="J13" s="54"/>
      <c r="K13" s="54"/>
      <c r="L13" s="54"/>
      <c r="M13" s="56"/>
      <c r="N13" s="8">
        <v>12</v>
      </c>
      <c r="O13" s="6" t="s">
        <v>98</v>
      </c>
      <c r="P13" s="6" t="s">
        <v>14</v>
      </c>
      <c r="Q13" s="84" t="s">
        <v>6</v>
      </c>
      <c r="R13" s="6">
        <v>3.3</v>
      </c>
      <c r="S13" s="6" t="s">
        <v>329</v>
      </c>
      <c r="T13" s="7">
        <v>0</v>
      </c>
      <c r="U13" s="7">
        <v>70</v>
      </c>
      <c r="V13" s="7">
        <v>30</v>
      </c>
      <c r="W13" s="15">
        <f t="shared" si="2"/>
        <v>0.5</v>
      </c>
      <c r="X13" s="7">
        <v>0</v>
      </c>
      <c r="Y13" s="7">
        <v>5</v>
      </c>
      <c r="Z13" s="7">
        <f t="shared" si="1"/>
        <v>5</v>
      </c>
      <c r="AA13" s="6" t="s">
        <v>227</v>
      </c>
      <c r="AB13" s="156" t="s">
        <v>472</v>
      </c>
      <c r="AC13" s="156" t="s">
        <v>480</v>
      </c>
      <c r="AD13" s="6"/>
      <c r="AE13" s="6"/>
      <c r="AL13" s="6"/>
    </row>
    <row r="14" spans="1:38" ht="15.75" thickBot="1" x14ac:dyDescent="0.3">
      <c r="A14" s="75"/>
      <c r="B14" s="54" t="str">
        <f>IF(A13="","","Lectures")</f>
        <v/>
      </c>
      <c r="C14" s="57" t="str">
        <f>IF($A$13="","",6)</f>
        <v/>
      </c>
      <c r="D14" s="57"/>
      <c r="E14" s="56" t="str">
        <f>IF($A$13="","",A14*C14)</f>
        <v/>
      </c>
      <c r="F14" s="56"/>
      <c r="G14" s="78"/>
      <c r="H14" s="54" t="str">
        <f>IF(G14="","← Choose # in ACTIVITY TABLE",VLOOKUP(G14,AKTIVITET,2,FALSE))</f>
        <v>← Choose # in ACTIVITY TABLE</v>
      </c>
      <c r="I14" s="60" t="str">
        <f>IF(I15&gt;100,"↓max 100%","")</f>
        <v/>
      </c>
      <c r="J14" s="64"/>
      <c r="K14" s="65"/>
      <c r="L14" s="56"/>
      <c r="M14" s="56"/>
      <c r="N14" s="8">
        <v>13</v>
      </c>
      <c r="O14" s="6" t="s">
        <v>99</v>
      </c>
      <c r="P14" s="6" t="s">
        <v>14</v>
      </c>
      <c r="Q14" s="84" t="s">
        <v>6</v>
      </c>
      <c r="R14" s="6">
        <v>4.0999999999999996</v>
      </c>
      <c r="S14" s="6" t="s">
        <v>84</v>
      </c>
      <c r="T14" s="7">
        <v>0</v>
      </c>
      <c r="U14" s="7">
        <v>25</v>
      </c>
      <c r="V14" s="7">
        <v>30</v>
      </c>
      <c r="W14" s="15">
        <f t="shared" si="2"/>
        <v>0.5</v>
      </c>
      <c r="X14" s="7">
        <v>0</v>
      </c>
      <c r="Y14" s="7">
        <v>2.5</v>
      </c>
      <c r="Z14" s="7">
        <f t="shared" si="1"/>
        <v>2.5</v>
      </c>
      <c r="AA14" s="6" t="s">
        <v>4</v>
      </c>
      <c r="AB14" s="156" t="s">
        <v>523</v>
      </c>
      <c r="AC14" s="156" t="s">
        <v>522</v>
      </c>
      <c r="AD14" s="6"/>
      <c r="AE14" s="6"/>
      <c r="AL14" s="6"/>
    </row>
    <row r="15" spans="1:38" ht="15.75" thickBot="1" x14ac:dyDescent="0.3">
      <c r="A15" s="53"/>
      <c r="B15" s="54" t="str">
        <f>IF(A13="","","SAU24 class room teaching")</f>
        <v/>
      </c>
      <c r="C15" s="57" t="str">
        <f>IF($A$13="","",3.5)</f>
        <v/>
      </c>
      <c r="D15" s="57"/>
      <c r="E15" s="56" t="str">
        <f>IF($A$13="","",A15*C15)</f>
        <v/>
      </c>
      <c r="F15" s="56"/>
      <c r="G15" s="79"/>
      <c r="H15" s="66" t="str">
        <f>IF(G14="","",IF(LEFT(H14,4)="Spot","Fixed # of H",IF(VLOOKUP(G14,AKTIVITET,6,FALSE)="Oral",(CONCATENATE("= # of stud. ",(VLOOKUP(G14,AKTIVITET,6,FALSE))," your share% =")),CONCATENATE(VLOOKUP(G14,AKTIVITET,6,FALSE)," your share% ="))))</f>
        <v/>
      </c>
      <c r="I15" s="51">
        <v>100</v>
      </c>
      <c r="J15" s="56" t="str">
        <f>IF(G14="","",VLOOKUP(G14,AKTIVITET,8,FALSE))</f>
        <v/>
      </c>
      <c r="K15" s="54"/>
      <c r="L15" s="56" t="str">
        <f>IF(G14="","",IF(H14="OSCE",J15,IF(VLOOKUP(G14,AKTIVITET,6,FALSE)="Oral",G15*(J15*I15/100),J15*I15/100)))</f>
        <v/>
      </c>
      <c r="M15" s="56"/>
      <c r="N15" s="8">
        <v>14</v>
      </c>
      <c r="O15" s="141" t="s">
        <v>100</v>
      </c>
      <c r="P15" s="6" t="s">
        <v>14</v>
      </c>
      <c r="Q15" s="84" t="s">
        <v>6</v>
      </c>
      <c r="R15" s="141">
        <v>4.2</v>
      </c>
      <c r="S15" s="141" t="s">
        <v>328</v>
      </c>
      <c r="T15" s="145">
        <v>4</v>
      </c>
      <c r="U15" s="145">
        <v>100</v>
      </c>
      <c r="V15" s="145">
        <v>40</v>
      </c>
      <c r="W15" s="144">
        <f t="shared" si="2"/>
        <v>0.66666666666666663</v>
      </c>
      <c r="X15" s="145">
        <v>10</v>
      </c>
      <c r="Y15" s="145">
        <v>2.5</v>
      </c>
      <c r="Z15" s="145">
        <f t="shared" si="1"/>
        <v>12.5</v>
      </c>
      <c r="AA15" s="141" t="s">
        <v>3</v>
      </c>
      <c r="AB15" s="156" t="s">
        <v>390</v>
      </c>
      <c r="AC15" s="156" t="s">
        <v>403</v>
      </c>
      <c r="AD15" s="6"/>
      <c r="AE15" s="6"/>
      <c r="AL15" s="6"/>
    </row>
    <row r="16" spans="1:38" ht="15.75" thickBot="1" x14ac:dyDescent="0.3">
      <c r="A16" s="53"/>
      <c r="B16" s="54" t="str">
        <f>IF(A13="","","SAU12 students exercises")</f>
        <v/>
      </c>
      <c r="C16" s="57" t="str">
        <f>IF($A$13="","",2.5)</f>
        <v/>
      </c>
      <c r="D16" s="57"/>
      <c r="E16" s="56" t="str">
        <f>IF($A$13="","",A16*C16)</f>
        <v/>
      </c>
      <c r="F16" s="56"/>
      <c r="G16" s="78"/>
      <c r="H16" s="54" t="str">
        <f>IF(G16="","← Choose # in ACTIVITY TABLE",VLOOKUP(G16,AKTIVITET,2,FALSE))</f>
        <v>← Choose # in ACTIVITY TABLE</v>
      </c>
      <c r="I16" s="60" t="str">
        <f>IF(I17&gt;100,"↓max 100%","")</f>
        <v/>
      </c>
      <c r="J16" s="64"/>
      <c r="K16" s="65"/>
      <c r="L16" s="56"/>
      <c r="M16" s="56"/>
      <c r="N16" s="8">
        <v>15</v>
      </c>
      <c r="O16" s="141" t="s">
        <v>101</v>
      </c>
      <c r="P16" s="6" t="s">
        <v>14</v>
      </c>
      <c r="Q16" s="84" t="s">
        <v>6</v>
      </c>
      <c r="R16" s="141">
        <v>4.3</v>
      </c>
      <c r="S16" s="141" t="s">
        <v>328</v>
      </c>
      <c r="T16" s="145">
        <v>4</v>
      </c>
      <c r="U16" s="145">
        <v>100</v>
      </c>
      <c r="V16" s="145">
        <v>40</v>
      </c>
      <c r="W16" s="144">
        <f t="shared" si="2"/>
        <v>0.66666666666666663</v>
      </c>
      <c r="X16" s="145">
        <v>10</v>
      </c>
      <c r="Y16" s="145">
        <v>2.5</v>
      </c>
      <c r="Z16" s="145">
        <f t="shared" si="1"/>
        <v>12.5</v>
      </c>
      <c r="AA16" s="141" t="s">
        <v>3</v>
      </c>
      <c r="AB16" s="156" t="s">
        <v>391</v>
      </c>
      <c r="AC16" s="156" t="s">
        <v>404</v>
      </c>
      <c r="AD16" s="6"/>
      <c r="AE16" s="6"/>
      <c r="AL16" s="6"/>
    </row>
    <row r="17" spans="1:38" ht="15.75" thickBot="1" x14ac:dyDescent="0.3">
      <c r="A17" s="77"/>
      <c r="B17" s="54" t="str">
        <f>IF(A13="","","Presence")</f>
        <v/>
      </c>
      <c r="C17" s="57" t="str">
        <f>IF($A$13="","",1)</f>
        <v/>
      </c>
      <c r="D17" s="57"/>
      <c r="E17" s="56" t="str">
        <f>IF($A$13="","",A17*C17)</f>
        <v/>
      </c>
      <c r="F17" s="56"/>
      <c r="G17" s="79"/>
      <c r="H17" s="66" t="str">
        <f>IF(G16="","",IF(LEFT(H16,4)="Spot","Fixed # of H",IF(VLOOKUP(G16,AKTIVITET,6,FALSE)="Oral",(CONCATENATE("= # of stud. ",(VLOOKUP(G16,AKTIVITET,6,FALSE))," your share% =")),CONCATENATE(VLOOKUP(G16,AKTIVITET,6,FALSE)," your share% ="))))</f>
        <v/>
      </c>
      <c r="I17" s="51">
        <v>100</v>
      </c>
      <c r="J17" s="56" t="str">
        <f>IF(G16="","",VLOOKUP(G16,AKTIVITET,8,FALSE))</f>
        <v/>
      </c>
      <c r="K17" s="54"/>
      <c r="L17" s="56" t="str">
        <f>IF(G16="","",IF(H16="OSCE",J17,IF(VLOOKUP(G16,AKTIVITET,6,FALSE)="Oral",G17*(J17*I17/100),J17*I17/100)))</f>
        <v/>
      </c>
      <c r="M17" s="56"/>
      <c r="N17" s="8">
        <v>16</v>
      </c>
      <c r="O17" s="146" t="s">
        <v>102</v>
      </c>
      <c r="P17" s="6" t="s">
        <v>14</v>
      </c>
      <c r="Q17" s="84" t="s">
        <v>6</v>
      </c>
      <c r="R17" s="146">
        <v>5.0999999999999996</v>
      </c>
      <c r="S17" s="146" t="s">
        <v>328</v>
      </c>
      <c r="T17" s="147">
        <f>4/3</f>
        <v>1.3333333333333333</v>
      </c>
      <c r="U17" s="147">
        <f>130/3</f>
        <v>43.333333333333336</v>
      </c>
      <c r="V17" s="147">
        <v>13.333333333333334</v>
      </c>
      <c r="W17" s="148">
        <f t="shared" si="2"/>
        <v>0.22222222222222224</v>
      </c>
      <c r="X17" s="147">
        <v>7.5</v>
      </c>
      <c r="Y17" s="149">
        <v>0</v>
      </c>
      <c r="Z17" s="147">
        <f t="shared" si="1"/>
        <v>7.5</v>
      </c>
      <c r="AA17" s="146" t="s">
        <v>3</v>
      </c>
      <c r="AB17" s="156"/>
      <c r="AC17" s="156" t="s">
        <v>405</v>
      </c>
      <c r="AD17" s="6"/>
      <c r="AE17" s="6"/>
      <c r="AL17" s="6"/>
    </row>
    <row r="18" spans="1:38" ht="15.75" thickBot="1" x14ac:dyDescent="0.3">
      <c r="A18" s="76"/>
      <c r="B18" s="54" t="str">
        <f>IF(A18="","← Choose # in ACTIVITY TABLE",VLOOKUP(A18,AKTIVITET,2,FALSE))</f>
        <v>← Choose # in ACTIVITY TABLE</v>
      </c>
      <c r="C18" s="54"/>
      <c r="D18" s="54"/>
      <c r="E18" s="54"/>
      <c r="F18" s="56"/>
      <c r="G18" s="78"/>
      <c r="H18" s="54" t="str">
        <f>IF(G18="","← Choose # in ACTIVITY TABLE",VLOOKUP(G18,AKTIVITET,2,FALSE))</f>
        <v>← Choose # in ACTIVITY TABLE</v>
      </c>
      <c r="I18" s="60" t="str">
        <f>IF(I19&gt;100,"↓max 100%","")</f>
        <v/>
      </c>
      <c r="J18" s="64"/>
      <c r="K18" s="65"/>
      <c r="L18" s="56"/>
      <c r="M18" s="56"/>
      <c r="N18" s="8">
        <v>17</v>
      </c>
      <c r="O18" s="146" t="s">
        <v>103</v>
      </c>
      <c r="P18" s="6" t="s">
        <v>14</v>
      </c>
      <c r="Q18" s="84" t="s">
        <v>6</v>
      </c>
      <c r="R18" s="146">
        <v>5.2</v>
      </c>
      <c r="S18" s="146" t="s">
        <v>328</v>
      </c>
      <c r="T18" s="147">
        <f>4/3</f>
        <v>1.3333333333333333</v>
      </c>
      <c r="U18" s="147">
        <f>130/3</f>
        <v>43.333333333333336</v>
      </c>
      <c r="V18" s="147">
        <v>13.333333333333334</v>
      </c>
      <c r="W18" s="148">
        <f t="shared" si="2"/>
        <v>0.22222222222222224</v>
      </c>
      <c r="X18" s="147">
        <v>2.5</v>
      </c>
      <c r="Y18" s="149">
        <v>2.5</v>
      </c>
      <c r="Z18" s="147">
        <f t="shared" ref="Z18:Z23" si="3">SUM(X18:Y18)</f>
        <v>5</v>
      </c>
      <c r="AA18" s="146" t="s">
        <v>3</v>
      </c>
      <c r="AB18" s="24"/>
      <c r="AC18" s="156" t="s">
        <v>406</v>
      </c>
      <c r="AD18" s="6"/>
      <c r="AE18" s="6"/>
      <c r="AL18" s="6"/>
    </row>
    <row r="19" spans="1:38" ht="15.75" thickBot="1" x14ac:dyDescent="0.3">
      <c r="A19" s="75"/>
      <c r="B19" s="54" t="str">
        <f>IF(A18="","","Lectures")</f>
        <v/>
      </c>
      <c r="C19" s="57" t="str">
        <f>IF($A$18="","",6)</f>
        <v/>
      </c>
      <c r="D19" s="57"/>
      <c r="E19" s="56" t="str">
        <f>IF($A$18="","",A19*C19)</f>
        <v/>
      </c>
      <c r="F19" s="56"/>
      <c r="G19" s="79"/>
      <c r="H19" s="66" t="str">
        <f>IF(G18="","",IF(LEFT(H18,4)="Spot","Fixed # of H",IF(VLOOKUP(G18,AKTIVITET,6,FALSE)="Oral",(CONCATENATE("= # of stud. ",(VLOOKUP(G18,AKTIVITET,6,FALSE))," your share% =")),CONCATENATE(VLOOKUP(G18,AKTIVITET,6,FALSE)," your share% ="))))</f>
        <v/>
      </c>
      <c r="I19" s="51">
        <v>100</v>
      </c>
      <c r="J19" s="56" t="str">
        <f>IF(G18="","",VLOOKUP(G18,AKTIVITET,8,FALSE))</f>
        <v/>
      </c>
      <c r="K19" s="54"/>
      <c r="L19" s="56" t="str">
        <f>IF(G18="","",IF(H18="OSCE",J19,IF(VLOOKUP(G18,AKTIVITET,6,FALSE)="Oral",G19*(J19*I19/100),J19*I19/100)))</f>
        <v/>
      </c>
      <c r="M19" s="56"/>
      <c r="N19" s="8">
        <v>18</v>
      </c>
      <c r="O19" s="150" t="s">
        <v>416</v>
      </c>
      <c r="P19" s="6" t="s">
        <v>14</v>
      </c>
      <c r="Q19" s="84" t="s">
        <v>6</v>
      </c>
      <c r="R19" s="151">
        <v>5.3</v>
      </c>
      <c r="S19" s="151" t="s">
        <v>328</v>
      </c>
      <c r="T19" s="152">
        <v>4</v>
      </c>
      <c r="U19" s="152">
        <v>130</v>
      </c>
      <c r="V19" s="152">
        <v>40</v>
      </c>
      <c r="W19" s="153">
        <f t="shared" si="2"/>
        <v>0.66666666666666663</v>
      </c>
      <c r="X19" s="152">
        <v>15</v>
      </c>
      <c r="Y19" s="152">
        <v>0</v>
      </c>
      <c r="Z19" s="152">
        <f t="shared" si="3"/>
        <v>15</v>
      </c>
      <c r="AA19" s="151" t="s">
        <v>3</v>
      </c>
      <c r="AB19" s="156" t="s">
        <v>415</v>
      </c>
      <c r="AC19" s="156" t="s">
        <v>415</v>
      </c>
      <c r="AD19" s="6"/>
      <c r="AE19" s="6"/>
      <c r="AL19" s="6"/>
    </row>
    <row r="20" spans="1:38" ht="15.75" thickBot="1" x14ac:dyDescent="0.3">
      <c r="A20" s="53"/>
      <c r="B20" s="54" t="str">
        <f>IF(A18="","","SAU24 class room teaching")</f>
        <v/>
      </c>
      <c r="C20" s="57" t="str">
        <f>IF($A$18="","",3.5)</f>
        <v/>
      </c>
      <c r="D20" s="57"/>
      <c r="E20" s="56" t="str">
        <f>IF($A$18="","",A20*C20)</f>
        <v/>
      </c>
      <c r="F20" s="56"/>
      <c r="G20" s="78"/>
      <c r="H20" s="54" t="str">
        <f>IF(G20="","← Choose # in ACTIVITY TABLE",VLOOKUP(G20,AKTIVITET,2,FALSE))</f>
        <v>← Choose # in ACTIVITY TABLE</v>
      </c>
      <c r="I20" s="60" t="str">
        <f>IF(I21&gt;100,"↓max 100%","")</f>
        <v/>
      </c>
      <c r="J20" s="64"/>
      <c r="K20" s="65"/>
      <c r="L20" s="56"/>
      <c r="M20" s="56"/>
      <c r="N20" s="8">
        <v>19</v>
      </c>
      <c r="O20" s="141" t="s">
        <v>104</v>
      </c>
      <c r="P20" s="6" t="s">
        <v>14</v>
      </c>
      <c r="Q20" s="84" t="s">
        <v>6</v>
      </c>
      <c r="R20" s="141">
        <v>5.4</v>
      </c>
      <c r="S20" s="141" t="s">
        <v>519</v>
      </c>
      <c r="T20" s="143">
        <f>4/3</f>
        <v>1.3333333333333333</v>
      </c>
      <c r="U20" s="143">
        <f>130/3</f>
        <v>43.333333333333336</v>
      </c>
      <c r="V20" s="143">
        <v>13.333333333333334</v>
      </c>
      <c r="W20" s="144">
        <f t="shared" si="2"/>
        <v>0.22222222222222224</v>
      </c>
      <c r="X20" s="145">
        <v>0</v>
      </c>
      <c r="Y20" s="145">
        <v>0</v>
      </c>
      <c r="Z20" s="145">
        <f t="shared" si="3"/>
        <v>0</v>
      </c>
      <c r="AA20" s="141" t="s">
        <v>18</v>
      </c>
      <c r="AB20" s="24"/>
      <c r="AC20" s="156" t="s">
        <v>518</v>
      </c>
      <c r="AD20" s="6"/>
      <c r="AE20" s="6"/>
      <c r="AL20" s="6"/>
    </row>
    <row r="21" spans="1:38" x14ac:dyDescent="0.25">
      <c r="A21" s="53"/>
      <c r="B21" s="54" t="str">
        <f>IF(A18="","","SAU12 students exercises")</f>
        <v/>
      </c>
      <c r="C21" s="57" t="str">
        <f>IF($A$18="","",2.5)</f>
        <v/>
      </c>
      <c r="D21" s="57"/>
      <c r="E21" s="56" t="str">
        <f>IF($A$18="","",A21*C21)</f>
        <v/>
      </c>
      <c r="F21" s="56"/>
      <c r="G21" s="75"/>
      <c r="H21" s="66" t="str">
        <f>IF(G20="","",IF(LEFT(H20,4)="Spot","Fixed # of H",IF(VLOOKUP(G20,AKTIVITET,6,FALSE)="Oral",(CONCATENATE("= # of stud. ",(VLOOKUP(G20,AKTIVITET,6,FALSE))," your share% =")),CONCATENATE(VLOOKUP(G20,AKTIVITET,6,FALSE)," your share% ="))))</f>
        <v/>
      </c>
      <c r="I21" s="51">
        <v>100</v>
      </c>
      <c r="J21" s="56" t="str">
        <f>IF(G20="","",VLOOKUP(G20,AKTIVITET,8,FALSE))</f>
        <v/>
      </c>
      <c r="K21" s="54"/>
      <c r="L21" s="56" t="str">
        <f>IF(G20="","",IF(H20="OSCE",J21,IF(VLOOKUP(G20,AKTIVITET,6,FALSE)="Oral",G21*(J21*I21/100),J21*I21/100)))</f>
        <v/>
      </c>
      <c r="M21" s="56"/>
      <c r="N21" s="8">
        <v>20</v>
      </c>
      <c r="O21" s="141" t="s">
        <v>105</v>
      </c>
      <c r="P21" s="6" t="s">
        <v>14</v>
      </c>
      <c r="Q21" s="84" t="s">
        <v>6</v>
      </c>
      <c r="R21" s="141">
        <v>5.5</v>
      </c>
      <c r="S21" s="141" t="s">
        <v>328</v>
      </c>
      <c r="T21" s="143">
        <f>4/3</f>
        <v>1.3333333333333333</v>
      </c>
      <c r="U21" s="143">
        <f>130/3</f>
        <v>43.333333333333336</v>
      </c>
      <c r="V21" s="143">
        <v>13.333333333333334</v>
      </c>
      <c r="W21" s="144">
        <f t="shared" si="2"/>
        <v>0.22222222222222224</v>
      </c>
      <c r="X21" s="143">
        <f>X23/3</f>
        <v>4.166666666666667</v>
      </c>
      <c r="Y21" s="145">
        <v>0</v>
      </c>
      <c r="Z21" s="143">
        <f t="shared" si="3"/>
        <v>4.166666666666667</v>
      </c>
      <c r="AA21" s="141" t="s">
        <v>3</v>
      </c>
      <c r="AB21" s="24" t="s">
        <v>454</v>
      </c>
      <c r="AC21" s="161" t="s">
        <v>453</v>
      </c>
      <c r="AD21" s="6"/>
      <c r="AE21" s="6"/>
      <c r="AL21" s="6"/>
    </row>
    <row r="22" spans="1:38" ht="15.75" thickBot="1" x14ac:dyDescent="0.3">
      <c r="A22" s="53"/>
      <c r="B22" s="54" t="str">
        <f>IF(A18="","","Presence")</f>
        <v/>
      </c>
      <c r="C22" s="57" t="str">
        <f>IF($A$18="","",1)</f>
        <v/>
      </c>
      <c r="D22" s="57"/>
      <c r="E22" s="56" t="str">
        <f>IF($A$18="","",A22*C22)</f>
        <v/>
      </c>
      <c r="F22" s="56"/>
      <c r="G22" s="54"/>
      <c r="H22" s="67" t="s">
        <v>72</v>
      </c>
      <c r="I22" s="58"/>
      <c r="J22" s="68" t="str">
        <f>IF(SUM(G23:G40)&gt;0,"ECTS","")</f>
        <v/>
      </c>
      <c r="K22" s="54"/>
      <c r="L22" s="54"/>
      <c r="M22" s="56"/>
      <c r="N22" s="8">
        <v>21</v>
      </c>
      <c r="O22" s="141" t="s">
        <v>106</v>
      </c>
      <c r="P22" s="6" t="s">
        <v>14</v>
      </c>
      <c r="Q22" s="84" t="s">
        <v>6</v>
      </c>
      <c r="R22" s="141">
        <v>5.6</v>
      </c>
      <c r="S22" s="141" t="s">
        <v>329</v>
      </c>
      <c r="T22" s="145">
        <v>0</v>
      </c>
      <c r="U22" s="145">
        <v>0</v>
      </c>
      <c r="V22" s="145">
        <v>0</v>
      </c>
      <c r="W22" s="144">
        <f t="shared" si="2"/>
        <v>0</v>
      </c>
      <c r="X22" s="145">
        <v>0</v>
      </c>
      <c r="Y22" s="145">
        <v>0</v>
      </c>
      <c r="Z22" s="145">
        <f t="shared" si="3"/>
        <v>0</v>
      </c>
      <c r="AA22" s="141" t="s">
        <v>3</v>
      </c>
      <c r="AB22" s="24"/>
      <c r="AC22" s="156" t="s">
        <v>421</v>
      </c>
      <c r="AD22" s="6"/>
      <c r="AE22" s="6"/>
      <c r="AL22" s="6"/>
    </row>
    <row r="23" spans="1:38" ht="15.75" thickBot="1" x14ac:dyDescent="0.3">
      <c r="A23" s="65"/>
      <c r="B23" s="58" t="s">
        <v>68</v>
      </c>
      <c r="C23" s="59" t="s">
        <v>69</v>
      </c>
      <c r="D23" s="59" t="s">
        <v>70</v>
      </c>
      <c r="E23" s="54"/>
      <c r="F23" s="56"/>
      <c r="G23" s="78"/>
      <c r="H23" s="54" t="str">
        <f>IF(G23="","← Choose # in ACTIVITY TABLE",VLOOKUP(G23,AKTIVITET,2,FALSE))</f>
        <v>← Choose # in ACTIVITY TABLE</v>
      </c>
      <c r="I23" s="60" t="str">
        <f>IF(I24&gt;100,"↓max 100%","")</f>
        <v/>
      </c>
      <c r="J23" s="64"/>
      <c r="K23" s="65"/>
      <c r="L23" s="56"/>
      <c r="M23" s="56"/>
      <c r="N23" s="8">
        <v>22</v>
      </c>
      <c r="O23" s="142" t="s">
        <v>107</v>
      </c>
      <c r="P23" s="6" t="s">
        <v>14</v>
      </c>
      <c r="Q23" s="84" t="s">
        <v>6</v>
      </c>
      <c r="R23" s="36">
        <v>5.7</v>
      </c>
      <c r="S23" s="36" t="s">
        <v>328</v>
      </c>
      <c r="T23" s="38">
        <v>4</v>
      </c>
      <c r="U23" s="38">
        <v>130</v>
      </c>
      <c r="V23" s="38">
        <v>40</v>
      </c>
      <c r="W23" s="39">
        <f t="shared" si="2"/>
        <v>0.66666666666666663</v>
      </c>
      <c r="X23" s="38">
        <v>12.5</v>
      </c>
      <c r="Y23" s="38">
        <v>0</v>
      </c>
      <c r="Z23" s="38">
        <f t="shared" si="3"/>
        <v>12.5</v>
      </c>
      <c r="AA23" s="36" t="s">
        <v>414</v>
      </c>
      <c r="AB23" s="156" t="s">
        <v>413</v>
      </c>
      <c r="AC23" s="156" t="s">
        <v>413</v>
      </c>
      <c r="AD23" s="6"/>
      <c r="AE23" s="6"/>
      <c r="AL23" s="6"/>
    </row>
    <row r="24" spans="1:38" ht="15.75" thickBot="1" x14ac:dyDescent="0.3">
      <c r="A24" s="76"/>
      <c r="B24" s="54" t="str">
        <f>IF(A24="","← Choose # in ACTIVITY TABLE",VLOOKUP(A24,AKTIVITET,2,FALSE))</f>
        <v>← Choose # in ACTIVITY TABLE</v>
      </c>
      <c r="C24" s="52"/>
      <c r="D24" s="99">
        <v>100</v>
      </c>
      <c r="E24" s="56" t="str">
        <f>IF(A24="","",IF(C24="","",(IF(VLOOKUP(A24,AKTIVITET,13,FALSE)&gt;40,40,VLOOKUP(A24,AKTIVITET,13,FALSE))*2*VLOOKUP(C24,VEJLEDNING,2,FALSE)*D24/100)))</f>
        <v/>
      </c>
      <c r="F24" s="56"/>
      <c r="G24" s="79"/>
      <c r="H24" s="62" t="str">
        <f>IF(G23="","",IF(OR(LEFT(H23,4)="Spot",LEFT(H23,4)="Inte"),"No hours","= # of classes. Your % of course l="))</f>
        <v/>
      </c>
      <c r="I24" s="51">
        <v>100</v>
      </c>
      <c r="J24" s="56" t="str">
        <f>IF(G23="","",VLOOKUP(G23,AKTIVITET,13,FALSE))</f>
        <v/>
      </c>
      <c r="K24" s="54"/>
      <c r="L24" s="56" t="str">
        <f>IF(G23="","",IF(OR(LEFT(H23,4)="Spot",LEFT(H23,4)="Inte"),"",IF(5*J24&lt;20,20*(1+(G24-1)*0.1)*I24/100,IF(5*J24&gt;60,60*(1+(G24-1)*0.1)*I24/100,5*J24*(1+(G24-1)*0.1)*I24/100))))</f>
        <v/>
      </c>
      <c r="M24" s="56"/>
      <c r="N24" s="8">
        <v>23</v>
      </c>
      <c r="O24" s="6" t="s">
        <v>451</v>
      </c>
      <c r="P24" s="1" t="s">
        <v>14</v>
      </c>
      <c r="Q24" s="84" t="s">
        <v>6</v>
      </c>
      <c r="R24" s="1">
        <v>5.8</v>
      </c>
      <c r="S24" s="6" t="s">
        <v>329</v>
      </c>
      <c r="T24" s="7">
        <v>0</v>
      </c>
      <c r="U24" s="7">
        <v>0</v>
      </c>
      <c r="V24" s="7">
        <v>0</v>
      </c>
      <c r="W24" s="15">
        <f t="shared" ref="W24:W30" si="4">V24/60</f>
        <v>0</v>
      </c>
      <c r="X24" s="7">
        <v>0</v>
      </c>
      <c r="Y24" s="7">
        <v>0</v>
      </c>
      <c r="Z24" s="7">
        <v>0</v>
      </c>
      <c r="AA24" s="1" t="s">
        <v>3</v>
      </c>
      <c r="AC24" s="156" t="s">
        <v>452</v>
      </c>
      <c r="AD24" s="6"/>
      <c r="AE24" s="6"/>
      <c r="AL24" s="6"/>
    </row>
    <row r="25" spans="1:38" ht="15.75" thickBot="1" x14ac:dyDescent="0.3">
      <c r="A25" s="73" t="str">
        <f>IF(A24="","","Who?:")</f>
        <v/>
      </c>
      <c r="B25" s="168"/>
      <c r="C25" s="169"/>
      <c r="D25" s="170"/>
      <c r="E25" s="63"/>
      <c r="F25" s="56"/>
      <c r="G25" s="78"/>
      <c r="H25" s="54" t="str">
        <f>IF(G25="","← Choose # in ACTIVITY TABLE",VLOOKUP(G25,AKTIVITET,2,FALSE))</f>
        <v>← Choose # in ACTIVITY TABLE</v>
      </c>
      <c r="I25" s="60" t="str">
        <f>IF(I26&gt;100,"↓max 100%","")</f>
        <v/>
      </c>
      <c r="J25" s="64"/>
      <c r="K25" s="65"/>
      <c r="L25" s="56"/>
      <c r="M25" s="56"/>
      <c r="N25" s="8">
        <v>24</v>
      </c>
      <c r="O25" s="6" t="s">
        <v>46</v>
      </c>
      <c r="P25" s="6" t="s">
        <v>14</v>
      </c>
      <c r="Q25" s="84" t="s">
        <v>6</v>
      </c>
      <c r="R25" s="6">
        <v>5.9</v>
      </c>
      <c r="S25" s="6" t="s">
        <v>327</v>
      </c>
      <c r="T25" s="7">
        <f>30/60</f>
        <v>0.5</v>
      </c>
      <c r="U25" s="7">
        <v>0</v>
      </c>
      <c r="V25" s="7">
        <v>180</v>
      </c>
      <c r="W25" s="15">
        <f t="shared" si="4"/>
        <v>3</v>
      </c>
      <c r="X25" s="7">
        <v>5</v>
      </c>
      <c r="Y25" s="7">
        <v>0</v>
      </c>
      <c r="Z25" s="7">
        <f t="shared" ref="Z25:Z30" si="5">SUM(X25:Y25)</f>
        <v>5</v>
      </c>
      <c r="AA25" s="6" t="s">
        <v>3</v>
      </c>
      <c r="AB25" s="156" t="s">
        <v>374</v>
      </c>
      <c r="AC25" s="156" t="s">
        <v>374</v>
      </c>
      <c r="AD25" s="6"/>
      <c r="AE25" s="6"/>
      <c r="AL25" s="6"/>
    </row>
    <row r="26" spans="1:38" ht="15.75" thickBot="1" x14ac:dyDescent="0.3">
      <c r="A26" s="76"/>
      <c r="B26" s="54" t="str">
        <f>IF(A26="","← Choose # in ACTIVITY TABLE",VLOOKUP(A26,AKTIVITET,2,FALSE))</f>
        <v>← Choose # in ACTIVITY TABLE</v>
      </c>
      <c r="C26" s="75"/>
      <c r="D26" s="100">
        <v>100</v>
      </c>
      <c r="E26" s="56" t="str">
        <f>IF(A26="","",IF(C26="","",(IF(VLOOKUP(A26,AKTIVITET,13,FALSE)&gt;40,40,VLOOKUP(A26,AKTIVITET,13,FALSE))*2*VLOOKUP(C26,VEJLEDNING,2,FALSE)*D26/100)))</f>
        <v/>
      </c>
      <c r="F26" s="56"/>
      <c r="G26" s="79"/>
      <c r="H26" s="62" t="str">
        <f>IF(G25="","",IF(OR(LEFT(H25,4)="Spot",LEFT(H25,4)="Inte"),"No hours","= # of classes. Your % of course l="))</f>
        <v/>
      </c>
      <c r="I26" s="51">
        <v>100</v>
      </c>
      <c r="J26" s="56" t="str">
        <f>IF(G25="","",VLOOKUP(G25,AKTIVITET,13,FALSE))</f>
        <v/>
      </c>
      <c r="K26" s="54"/>
      <c r="L26" s="56" t="str">
        <f>IF(G25="","",IF(OR(LEFT(H25,4)="Spot",LEFT(H25,4)="Inte"),"",IF(5*J26&lt;20,20*(1+(G26-1)*0.1)*I26/100,IF(5*J26&gt;60,60*(1+(G26-1)*0.1)*I26/100,5*J26*(1+(G26-1)*0.1)*I26/100))))</f>
        <v/>
      </c>
      <c r="M26" s="56"/>
      <c r="N26" s="8">
        <v>25</v>
      </c>
      <c r="O26" s="141" t="s">
        <v>108</v>
      </c>
      <c r="P26" s="6" t="s">
        <v>14</v>
      </c>
      <c r="Q26" s="84" t="s">
        <v>6</v>
      </c>
      <c r="R26" s="141">
        <v>6.1</v>
      </c>
      <c r="S26" s="141" t="s">
        <v>519</v>
      </c>
      <c r="T26" s="145">
        <v>0</v>
      </c>
      <c r="U26" s="143">
        <f>130/2</f>
        <v>65</v>
      </c>
      <c r="V26" s="143">
        <v>30</v>
      </c>
      <c r="W26" s="144">
        <f t="shared" si="4"/>
        <v>0.5</v>
      </c>
      <c r="X26" s="145">
        <v>0</v>
      </c>
      <c r="Y26" s="145">
        <v>2.5</v>
      </c>
      <c r="Z26" s="145">
        <f t="shared" si="5"/>
        <v>2.5</v>
      </c>
      <c r="AA26" s="141" t="s">
        <v>18</v>
      </c>
      <c r="AB26" s="24"/>
      <c r="AC26" s="156" t="s">
        <v>520</v>
      </c>
      <c r="AD26" s="6"/>
      <c r="AE26" s="6"/>
      <c r="AL26" s="6"/>
    </row>
    <row r="27" spans="1:38" ht="15.75" thickBot="1" x14ac:dyDescent="0.3">
      <c r="A27" s="73" t="str">
        <f>IF(A26="","","Who?:")</f>
        <v/>
      </c>
      <c r="B27" s="168"/>
      <c r="C27" s="169"/>
      <c r="D27" s="170"/>
      <c r="E27" s="63"/>
      <c r="F27" s="56"/>
      <c r="G27" s="81"/>
      <c r="H27" s="54" t="str">
        <f>IF(G27="","← Choose # in ACTIVITY TABLE",VLOOKUP(G27,AKTIVITET,2,FALSE))</f>
        <v>← Choose # in ACTIVITY TABLE</v>
      </c>
      <c r="I27" s="60" t="str">
        <f>IF(I28&gt;100,"↓max 100%","")</f>
        <v/>
      </c>
      <c r="J27" s="64"/>
      <c r="K27" s="65"/>
      <c r="L27" s="56"/>
      <c r="M27" s="56"/>
      <c r="N27" s="8">
        <v>26</v>
      </c>
      <c r="O27" s="141" t="s">
        <v>109</v>
      </c>
      <c r="P27" s="6" t="s">
        <v>14</v>
      </c>
      <c r="Q27" s="84" t="s">
        <v>6</v>
      </c>
      <c r="R27" s="141">
        <v>6.2</v>
      </c>
      <c r="S27" s="141" t="s">
        <v>329</v>
      </c>
      <c r="T27" s="145">
        <v>0</v>
      </c>
      <c r="U27" s="143">
        <f>130/2</f>
        <v>65</v>
      </c>
      <c r="V27" s="143">
        <v>30</v>
      </c>
      <c r="W27" s="144">
        <f t="shared" si="4"/>
        <v>0.5</v>
      </c>
      <c r="X27" s="145">
        <v>0</v>
      </c>
      <c r="Y27" s="145">
        <v>0</v>
      </c>
      <c r="Z27" s="145">
        <f t="shared" si="5"/>
        <v>0</v>
      </c>
      <c r="AA27" s="141" t="s">
        <v>5</v>
      </c>
      <c r="AB27" s="24"/>
      <c r="AC27" s="156" t="s">
        <v>502</v>
      </c>
      <c r="AD27" s="6"/>
      <c r="AE27" s="6"/>
      <c r="AL27" s="6"/>
    </row>
    <row r="28" spans="1:38" ht="15.75" thickBot="1" x14ac:dyDescent="0.3">
      <c r="A28" s="76"/>
      <c r="B28" s="54" t="str">
        <f>IF(A28="","← Choose # in ACTIVITY TABLE",VLOOKUP(A28,AKTIVITET,2,FALSE))</f>
        <v>← Choose # in ACTIVITY TABLE</v>
      </c>
      <c r="C28" s="101"/>
      <c r="D28" s="100">
        <v>100</v>
      </c>
      <c r="E28" s="56" t="str">
        <f>IF(A28="","",IF(C28="","",(IF(VLOOKUP(A28,AKTIVITET,13,FALSE)&gt;40,40,VLOOKUP(A28,AKTIVITET,13,FALSE))*2*VLOOKUP(C28,VEJLEDNING,2,FALSE)*D28/100)))</f>
        <v/>
      </c>
      <c r="F28" s="56"/>
      <c r="G28" s="53"/>
      <c r="H28" s="62" t="str">
        <f>IF(G27="","",IF(OR(LEFT(H27,4)="Spot",LEFT(H27,4)="Inte"),"No hours","= # of classes. Your % of course l="))</f>
        <v/>
      </c>
      <c r="I28" s="51">
        <v>100</v>
      </c>
      <c r="J28" s="56" t="str">
        <f>IF(G27="","",VLOOKUP(G27,AKTIVITET,13,FALSE))</f>
        <v/>
      </c>
      <c r="K28" s="54"/>
      <c r="L28" s="56" t="str">
        <f>IF(G27="","",IF(OR(LEFT(H27,4)="Spot",LEFT(H27,4)="Inte"),"",IF(5*J28&lt;20,20*(1+(G28-1)*0.1)*I28/100,IF(5*J28&gt;60,60*(1+(G28-1)*0.1)*I28/100,5*J28*(1+(G28-1)*0.1)*I28/100))))</f>
        <v/>
      </c>
      <c r="M28" s="56"/>
      <c r="N28" s="8">
        <v>27</v>
      </c>
      <c r="O28" s="142" t="s">
        <v>110</v>
      </c>
      <c r="P28" s="6" t="s">
        <v>14</v>
      </c>
      <c r="Q28" s="84" t="s">
        <v>6</v>
      </c>
      <c r="R28" s="36">
        <v>6.3</v>
      </c>
      <c r="S28" s="36" t="s">
        <v>328</v>
      </c>
      <c r="T28" s="38">
        <v>6</v>
      </c>
      <c r="U28" s="38">
        <v>130</v>
      </c>
      <c r="V28" s="38">
        <v>60</v>
      </c>
      <c r="W28" s="39">
        <f t="shared" si="4"/>
        <v>1</v>
      </c>
      <c r="X28" s="38">
        <v>17.5</v>
      </c>
      <c r="Y28" s="38">
        <v>0</v>
      </c>
      <c r="Z28" s="38">
        <f t="shared" si="5"/>
        <v>17.5</v>
      </c>
      <c r="AA28" s="36" t="s">
        <v>5</v>
      </c>
      <c r="AB28" s="156" t="s">
        <v>514</v>
      </c>
      <c r="AC28" s="156" t="s">
        <v>514</v>
      </c>
      <c r="AD28" s="6"/>
      <c r="AE28" s="6"/>
      <c r="AL28" s="6"/>
    </row>
    <row r="29" spans="1:38" ht="15.75" thickBot="1" x14ac:dyDescent="0.3">
      <c r="A29" s="73" t="str">
        <f>IF(A28="","","Who?:")</f>
        <v/>
      </c>
      <c r="B29" s="168"/>
      <c r="C29" s="169"/>
      <c r="D29" s="170"/>
      <c r="E29" s="63"/>
      <c r="F29" s="56"/>
      <c r="G29" s="58" t="s">
        <v>69</v>
      </c>
      <c r="H29" s="59" t="s">
        <v>119</v>
      </c>
      <c r="I29" s="54"/>
      <c r="J29" s="54"/>
      <c r="K29" s="59" t="s">
        <v>71</v>
      </c>
      <c r="L29" s="54"/>
      <c r="M29" s="56"/>
      <c r="N29" s="8">
        <v>28</v>
      </c>
      <c r="O29" s="6" t="s">
        <v>111</v>
      </c>
      <c r="P29" s="6" t="s">
        <v>14</v>
      </c>
      <c r="Q29" s="84" t="s">
        <v>6</v>
      </c>
      <c r="R29" s="6">
        <v>6.4</v>
      </c>
      <c r="S29" s="6" t="s">
        <v>328</v>
      </c>
      <c r="T29" s="7">
        <v>3</v>
      </c>
      <c r="U29" s="7">
        <v>70</v>
      </c>
      <c r="V29" s="7">
        <v>30</v>
      </c>
      <c r="W29" s="15">
        <f t="shared" si="4"/>
        <v>0.5</v>
      </c>
      <c r="X29" s="7">
        <v>5</v>
      </c>
      <c r="Y29" s="7">
        <v>0</v>
      </c>
      <c r="Z29" s="7">
        <f t="shared" si="5"/>
        <v>5</v>
      </c>
      <c r="AA29" s="6" t="s">
        <v>5</v>
      </c>
      <c r="AB29" s="24"/>
      <c r="AC29" s="156" t="s">
        <v>513</v>
      </c>
      <c r="AD29" s="6"/>
      <c r="AE29" s="6"/>
      <c r="AL29" s="6"/>
    </row>
    <row r="30" spans="1:38" ht="15.75" thickBot="1" x14ac:dyDescent="0.3">
      <c r="A30" s="76"/>
      <c r="B30" s="54" t="str">
        <f>IF(A30="","← Choose # in ACTIVITY TABLE",VLOOKUP(A30,AKTIVITET,2,FALSE))</f>
        <v>← Choose # in ACTIVITY TABLE</v>
      </c>
      <c r="C30" s="75"/>
      <c r="D30" s="100">
        <v>100</v>
      </c>
      <c r="E30" s="56" t="str">
        <f>IF(A30="","",IF(C30="","",(IF(VLOOKUP(A30,AKTIVITET,13,FALSE)&gt;40,40,VLOOKUP(A30,AKTIVITET,13,FALSE))*2*VLOOKUP(C30,VEJLEDNING,2,FALSE)*D30/100)))</f>
        <v/>
      </c>
      <c r="F30" s="56"/>
      <c r="G30" s="53"/>
      <c r="H30" s="172"/>
      <c r="I30" s="173"/>
      <c r="J30" s="174"/>
      <c r="K30" s="53"/>
      <c r="L30" s="56" t="str">
        <f>IF(H30="","",G30*K30)</f>
        <v/>
      </c>
      <c r="M30" s="56"/>
      <c r="N30" s="8">
        <v>29</v>
      </c>
      <c r="O30" s="141" t="s">
        <v>109</v>
      </c>
      <c r="P30" s="6" t="s">
        <v>14</v>
      </c>
      <c r="Q30" s="88" t="s">
        <v>7</v>
      </c>
      <c r="R30" s="145">
        <v>8.1</v>
      </c>
      <c r="S30" s="141" t="s">
        <v>329</v>
      </c>
      <c r="T30" s="145">
        <v>0</v>
      </c>
      <c r="U30" s="145">
        <v>0</v>
      </c>
      <c r="V30" s="145">
        <v>0</v>
      </c>
      <c r="W30" s="144">
        <f t="shared" si="4"/>
        <v>0</v>
      </c>
      <c r="X30" s="145">
        <v>0</v>
      </c>
      <c r="Y30" s="145">
        <v>0</v>
      </c>
      <c r="Z30" s="145">
        <f t="shared" si="5"/>
        <v>0</v>
      </c>
      <c r="AA30" s="141" t="s">
        <v>5</v>
      </c>
      <c r="AB30" s="24"/>
      <c r="AC30" s="156" t="s">
        <v>502</v>
      </c>
      <c r="AD30" s="6"/>
      <c r="AE30" s="6"/>
      <c r="AL30" s="6"/>
    </row>
    <row r="31" spans="1:38" ht="15.75" thickBot="1" x14ac:dyDescent="0.3">
      <c r="A31" s="73" t="str">
        <f>IF(A30="","","Who?:")</f>
        <v/>
      </c>
      <c r="B31" s="168"/>
      <c r="C31" s="169"/>
      <c r="D31" s="170"/>
      <c r="E31" s="63"/>
      <c r="F31" s="56"/>
      <c r="G31" s="53"/>
      <c r="H31" s="172"/>
      <c r="I31" s="173"/>
      <c r="J31" s="174"/>
      <c r="K31" s="53"/>
      <c r="L31" s="56" t="str">
        <f>IF(H31="","",G31*K31)</f>
        <v/>
      </c>
      <c r="M31" s="56"/>
      <c r="N31" s="8">
        <v>30</v>
      </c>
      <c r="O31" s="6" t="s">
        <v>116</v>
      </c>
      <c r="P31" s="6" t="s">
        <v>14</v>
      </c>
      <c r="Q31" s="88" t="s">
        <v>7</v>
      </c>
      <c r="R31" s="7">
        <v>9.1</v>
      </c>
      <c r="S31" s="6" t="s">
        <v>329</v>
      </c>
      <c r="T31" s="7">
        <v>0</v>
      </c>
      <c r="U31" s="7">
        <v>0.5</v>
      </c>
      <c r="V31" s="7">
        <v>25</v>
      </c>
      <c r="W31" s="15">
        <f t="shared" ref="W31:W37" si="6">V31/60</f>
        <v>0.41666666666666669</v>
      </c>
      <c r="X31" s="7">
        <v>0</v>
      </c>
      <c r="Y31" s="7">
        <v>2.5</v>
      </c>
      <c r="Z31" s="7">
        <f t="shared" ref="Z31:Z37" si="7">SUM(X31:Y31)</f>
        <v>2.5</v>
      </c>
      <c r="AA31" s="6" t="s">
        <v>5</v>
      </c>
      <c r="AB31" s="24"/>
      <c r="AC31" s="156" t="s">
        <v>511</v>
      </c>
      <c r="AD31" s="6"/>
      <c r="AE31" s="6"/>
      <c r="AL31" s="6"/>
    </row>
    <row r="32" spans="1:38" ht="15.75" thickBot="1" x14ac:dyDescent="0.3">
      <c r="A32" s="76"/>
      <c r="B32" s="54" t="str">
        <f>IF(A32="","← Choose # in ACTIVITY TABLE",VLOOKUP(A32,AKTIVITET,2,FALSE))</f>
        <v>← Choose # in ACTIVITY TABLE</v>
      </c>
      <c r="C32" s="52"/>
      <c r="D32" s="99">
        <v>100</v>
      </c>
      <c r="E32" s="56" t="str">
        <f>IF(A32="","",IF(C32="","",(IF(VLOOKUP(A32,AKTIVITET,13,FALSE)&gt;40,40,VLOOKUP(A32,AKTIVITET,13,FALSE))*2*VLOOKUP(C32,VEJLEDNING,2,FALSE)*D32/100)))</f>
        <v/>
      </c>
      <c r="F32" s="56"/>
      <c r="G32" s="53"/>
      <c r="H32" s="172"/>
      <c r="I32" s="173"/>
      <c r="J32" s="174"/>
      <c r="K32" s="53"/>
      <c r="L32" s="56" t="str">
        <f>IF(H32="","",G32*K32)</f>
        <v/>
      </c>
      <c r="M32" s="56"/>
      <c r="N32" s="8">
        <v>31</v>
      </c>
      <c r="O32" s="6" t="s">
        <v>112</v>
      </c>
      <c r="P32" s="6" t="s">
        <v>14</v>
      </c>
      <c r="Q32" s="88" t="s">
        <v>7</v>
      </c>
      <c r="R32" s="7">
        <v>12.1</v>
      </c>
      <c r="S32" s="6" t="s">
        <v>326</v>
      </c>
      <c r="T32" s="7">
        <v>2</v>
      </c>
      <c r="U32" s="7">
        <v>100</v>
      </c>
      <c r="V32" s="7">
        <v>480</v>
      </c>
      <c r="W32" s="15">
        <f t="shared" si="6"/>
        <v>8</v>
      </c>
      <c r="X32" s="7">
        <v>5</v>
      </c>
      <c r="Y32" s="7">
        <v>0</v>
      </c>
      <c r="Z32" s="7">
        <f t="shared" si="7"/>
        <v>5</v>
      </c>
      <c r="AA32" s="6" t="s">
        <v>5</v>
      </c>
      <c r="AB32" s="156" t="s">
        <v>512</v>
      </c>
      <c r="AC32" s="156" t="s">
        <v>512</v>
      </c>
      <c r="AD32" s="6"/>
      <c r="AE32" s="6"/>
    </row>
    <row r="33" spans="1:38" ht="15.75" thickBot="1" x14ac:dyDescent="0.3">
      <c r="A33" s="73" t="str">
        <f>IF(A32="","","Who?:")</f>
        <v/>
      </c>
      <c r="B33" s="168"/>
      <c r="C33" s="169"/>
      <c r="D33" s="170"/>
      <c r="E33" s="63"/>
      <c r="F33" s="56"/>
      <c r="G33" s="53"/>
      <c r="H33" s="172"/>
      <c r="I33" s="173"/>
      <c r="J33" s="174"/>
      <c r="K33" s="53"/>
      <c r="L33" s="56" t="str">
        <f>IF(H33="","",G33*K33)</f>
        <v/>
      </c>
      <c r="M33" s="56"/>
      <c r="N33" s="8">
        <v>32</v>
      </c>
      <c r="O33" s="1" t="s">
        <v>121</v>
      </c>
      <c r="P33" s="6" t="s">
        <v>14</v>
      </c>
      <c r="Q33" s="89" t="s">
        <v>7</v>
      </c>
      <c r="R33" s="27">
        <v>12.2</v>
      </c>
      <c r="S33" s="1" t="s">
        <v>329</v>
      </c>
      <c r="T33" s="7">
        <v>0</v>
      </c>
      <c r="U33" s="27">
        <v>0</v>
      </c>
      <c r="V33" s="27">
        <v>0</v>
      </c>
      <c r="W33" s="15">
        <f t="shared" si="6"/>
        <v>0</v>
      </c>
      <c r="X33" s="7">
        <v>0</v>
      </c>
      <c r="Y33" s="27">
        <v>5</v>
      </c>
      <c r="Z33" s="7">
        <f t="shared" si="7"/>
        <v>5</v>
      </c>
      <c r="AA33" s="6" t="s">
        <v>5</v>
      </c>
      <c r="AB33" s="24"/>
      <c r="AC33" s="156" t="s">
        <v>510</v>
      </c>
      <c r="AD33" s="6"/>
      <c r="AE33" s="6"/>
    </row>
    <row r="34" spans="1:38" ht="15.75" thickBot="1" x14ac:dyDescent="0.3">
      <c r="A34" s="76"/>
      <c r="B34" s="54" t="str">
        <f>IF(A34="","← Choose # in ACTIVITY TABLE",VLOOKUP(A34,AKTIVITET,2,FALSE))</f>
        <v>← Choose # in ACTIVITY TABLE</v>
      </c>
      <c r="C34" s="75"/>
      <c r="D34" s="100">
        <v>100</v>
      </c>
      <c r="E34" s="56" t="str">
        <f>IF(A34="","",IF(C34="","",(IF(VLOOKUP(A34,AKTIVITET,13,FALSE)&gt;40,40,VLOOKUP(A34,AKTIVITET,13,FALSE))*2*VLOOKUP(C34,VEJLEDNING,2,FALSE)*D34/100)))</f>
        <v/>
      </c>
      <c r="F34" s="56"/>
      <c r="G34" s="54"/>
      <c r="H34" s="58" t="s">
        <v>120</v>
      </c>
      <c r="I34" s="54"/>
      <c r="J34" s="54"/>
      <c r="K34" s="54"/>
      <c r="L34" s="54"/>
      <c r="M34" s="56"/>
      <c r="N34" s="8">
        <v>33</v>
      </c>
      <c r="O34" s="1" t="s">
        <v>420</v>
      </c>
      <c r="P34" s="6" t="s">
        <v>14</v>
      </c>
      <c r="Q34" s="89" t="s">
        <v>7</v>
      </c>
      <c r="R34" s="27">
        <v>12.4</v>
      </c>
      <c r="S34" s="1" t="s">
        <v>327</v>
      </c>
      <c r="T34" s="109">
        <f>45/60</f>
        <v>0.75</v>
      </c>
      <c r="U34" s="27">
        <v>25</v>
      </c>
      <c r="V34" s="27">
        <f>45+45</f>
        <v>90</v>
      </c>
      <c r="W34" s="15">
        <f t="shared" si="6"/>
        <v>1.5</v>
      </c>
      <c r="X34" s="7">
        <v>10</v>
      </c>
      <c r="Y34" s="27">
        <v>0</v>
      </c>
      <c r="Z34" s="7">
        <f t="shared" si="7"/>
        <v>10</v>
      </c>
      <c r="AA34" s="6" t="s">
        <v>3</v>
      </c>
      <c r="AB34" s="156" t="s">
        <v>417</v>
      </c>
      <c r="AC34" s="156" t="s">
        <v>417</v>
      </c>
      <c r="AD34" s="6"/>
      <c r="AE34" s="6"/>
    </row>
    <row r="35" spans="1:38" ht="15.75" thickBot="1" x14ac:dyDescent="0.3">
      <c r="A35" s="73" t="str">
        <f>IF(A34="","","Who?:")</f>
        <v/>
      </c>
      <c r="B35" s="168"/>
      <c r="C35" s="169"/>
      <c r="D35" s="170"/>
      <c r="E35" s="63"/>
      <c r="F35" s="56"/>
      <c r="G35" s="180"/>
      <c r="H35" s="181"/>
      <c r="I35" s="181"/>
      <c r="J35" s="182"/>
      <c r="K35" s="54"/>
      <c r="L35" s="51"/>
      <c r="M35" s="56"/>
      <c r="N35" s="8">
        <v>34</v>
      </c>
      <c r="O35" s="1" t="s">
        <v>419</v>
      </c>
      <c r="P35" s="6" t="s">
        <v>14</v>
      </c>
      <c r="Q35" s="89" t="s">
        <v>7</v>
      </c>
      <c r="R35" s="27">
        <v>12.6</v>
      </c>
      <c r="S35" s="1" t="s">
        <v>327</v>
      </c>
      <c r="T35" s="109">
        <v>0.75</v>
      </c>
      <c r="U35" s="27">
        <v>25</v>
      </c>
      <c r="V35" s="27">
        <v>90</v>
      </c>
      <c r="W35" s="15">
        <f t="shared" si="6"/>
        <v>1.5</v>
      </c>
      <c r="X35" s="7">
        <v>22.5</v>
      </c>
      <c r="Y35" s="27">
        <v>0</v>
      </c>
      <c r="Z35" s="7">
        <f t="shared" si="7"/>
        <v>22.5</v>
      </c>
      <c r="AA35" s="6" t="s">
        <v>3</v>
      </c>
      <c r="AB35" s="156" t="s">
        <v>418</v>
      </c>
      <c r="AC35" s="156" t="s">
        <v>418</v>
      </c>
      <c r="AD35" s="6"/>
      <c r="AE35" s="6"/>
      <c r="AL35" s="6"/>
    </row>
    <row r="36" spans="1:38" ht="15.75" thickBot="1" x14ac:dyDescent="0.3">
      <c r="A36" s="76"/>
      <c r="B36" s="54" t="str">
        <f>IF(A36="","← Choose # in ACTIVITY TABLE",VLOOKUP(A36,AKTIVITET,2,FALSE))</f>
        <v>← Choose # in ACTIVITY TABLE</v>
      </c>
      <c r="C36" s="101"/>
      <c r="D36" s="100">
        <v>100</v>
      </c>
      <c r="E36" s="56" t="str">
        <f>IF(A36="","",IF(C36="","",(IF(VLOOKUP(A36,AKTIVITET,13,FALSE)&gt;40,40,VLOOKUP(A36,AKTIVITET,13,FALSE))*2*VLOOKUP(C36,VEJLEDNING,2,FALSE)*D36/100)))</f>
        <v/>
      </c>
      <c r="F36" s="56"/>
      <c r="G36" s="180"/>
      <c r="H36" s="181"/>
      <c r="I36" s="181"/>
      <c r="J36" s="182"/>
      <c r="K36" s="54"/>
      <c r="L36" s="51"/>
      <c r="M36" s="56"/>
      <c r="N36" s="8">
        <v>35</v>
      </c>
      <c r="O36" s="1" t="s">
        <v>507</v>
      </c>
      <c r="P36" s="6" t="s">
        <v>14</v>
      </c>
      <c r="Q36" s="89" t="s">
        <v>7</v>
      </c>
      <c r="R36" s="1">
        <v>12.6</v>
      </c>
      <c r="S36" s="1" t="s">
        <v>327</v>
      </c>
      <c r="T36" s="109">
        <v>1</v>
      </c>
      <c r="U36" s="27">
        <v>25</v>
      </c>
      <c r="V36" s="27">
        <v>90</v>
      </c>
      <c r="W36" s="15">
        <f t="shared" si="6"/>
        <v>1.5</v>
      </c>
      <c r="X36" s="7">
        <v>30</v>
      </c>
      <c r="Y36" s="27">
        <v>0</v>
      </c>
      <c r="Z36" s="7">
        <f t="shared" si="7"/>
        <v>30</v>
      </c>
      <c r="AA36" s="1" t="s">
        <v>5</v>
      </c>
      <c r="AB36" s="156" t="s">
        <v>509</v>
      </c>
      <c r="AC36" s="156" t="s">
        <v>508</v>
      </c>
      <c r="AD36" s="6"/>
      <c r="AE36" s="6"/>
      <c r="AL36" s="6"/>
    </row>
    <row r="37" spans="1:38" ht="15.75" thickBot="1" x14ac:dyDescent="0.3">
      <c r="A37" s="73" t="str">
        <f>IF(A36="","","Who?:")</f>
        <v/>
      </c>
      <c r="B37" s="168"/>
      <c r="C37" s="169"/>
      <c r="D37" s="170"/>
      <c r="E37" s="63"/>
      <c r="F37" s="56"/>
      <c r="G37" s="180"/>
      <c r="H37" s="181"/>
      <c r="I37" s="181"/>
      <c r="J37" s="182"/>
      <c r="K37" s="54"/>
      <c r="L37" s="51"/>
      <c r="M37" s="56"/>
      <c r="N37" s="8">
        <v>36</v>
      </c>
      <c r="O37" s="1" t="s">
        <v>127</v>
      </c>
      <c r="P37" s="6" t="s">
        <v>14</v>
      </c>
      <c r="Q37" s="89" t="s">
        <v>7</v>
      </c>
      <c r="R37" s="27">
        <v>12.6</v>
      </c>
      <c r="S37" s="1" t="s">
        <v>84</v>
      </c>
      <c r="T37" s="7">
        <v>6</v>
      </c>
      <c r="U37" s="27">
        <v>130</v>
      </c>
      <c r="V37" s="27">
        <v>60</v>
      </c>
      <c r="W37" s="15">
        <f t="shared" si="6"/>
        <v>1</v>
      </c>
      <c r="X37" s="7">
        <v>20</v>
      </c>
      <c r="Y37" s="27">
        <v>0</v>
      </c>
      <c r="Z37" s="7">
        <f t="shared" si="7"/>
        <v>20</v>
      </c>
      <c r="AA37" s="6" t="s">
        <v>5</v>
      </c>
      <c r="AB37" s="24"/>
      <c r="AC37" s="156" t="s">
        <v>506</v>
      </c>
      <c r="AD37" s="6"/>
      <c r="AE37" s="6"/>
      <c r="AL37" s="6"/>
    </row>
    <row r="38" spans="1:38" ht="15.75" thickBot="1" x14ac:dyDescent="0.3">
      <c r="A38" s="76"/>
      <c r="B38" s="54" t="str">
        <f>IF(A38="","← Choose # in ACTIVITY TABLE",VLOOKUP(A38,AKTIVITET,2,FALSE))</f>
        <v>← Choose # in ACTIVITY TABLE</v>
      </c>
      <c r="C38" s="75"/>
      <c r="D38" s="100">
        <v>100</v>
      </c>
      <c r="E38" s="56" t="str">
        <f>IF(A38="","",IF(C38="","",(IF(VLOOKUP(A38,AKTIVITET,13,FALSE)&gt;40,40,VLOOKUP(A38,AKTIVITET,13,FALSE))*2*VLOOKUP(C38,VEJLEDNING,2,FALSE)*D38/100)))</f>
        <v/>
      </c>
      <c r="F38" s="56"/>
      <c r="G38" s="65"/>
      <c r="H38" s="69" t="s">
        <v>76</v>
      </c>
      <c r="I38" s="54"/>
      <c r="J38" s="54"/>
      <c r="K38" s="54"/>
      <c r="L38" s="70">
        <f>SUM(L4:L37)</f>
        <v>0</v>
      </c>
      <c r="M38" s="56"/>
      <c r="N38" s="8">
        <v>37</v>
      </c>
      <c r="AD38" s="6"/>
      <c r="AE38" s="6"/>
      <c r="AL38" s="6"/>
    </row>
    <row r="39" spans="1:38" x14ac:dyDescent="0.25">
      <c r="A39" s="73" t="str">
        <f>IF(A38="","","Who?:")</f>
        <v/>
      </c>
      <c r="B39" s="168"/>
      <c r="C39" s="169"/>
      <c r="D39" s="170"/>
      <c r="E39" s="63"/>
      <c r="F39" s="33"/>
      <c r="G39" s="65"/>
      <c r="H39" s="82" t="s">
        <v>78</v>
      </c>
      <c r="I39" s="106"/>
      <c r="J39" s="106"/>
      <c r="K39" s="106"/>
      <c r="L39" s="107">
        <f>E40</f>
        <v>0</v>
      </c>
      <c r="M39" s="33"/>
      <c r="N39" s="8">
        <v>38</v>
      </c>
      <c r="AD39" s="6"/>
      <c r="AE39" s="6"/>
      <c r="AL39" s="6"/>
    </row>
    <row r="40" spans="1:38" ht="15.75" thickBot="1" x14ac:dyDescent="0.3">
      <c r="A40" s="58"/>
      <c r="B40" s="82" t="s">
        <v>78</v>
      </c>
      <c r="C40" s="82"/>
      <c r="D40" s="82"/>
      <c r="E40" s="83">
        <f>SUM(E4:F39)</f>
        <v>0</v>
      </c>
      <c r="F40" s="33"/>
      <c r="G40" s="63"/>
      <c r="H40" s="71" t="s">
        <v>77</v>
      </c>
      <c r="I40" s="108"/>
      <c r="J40" s="108"/>
      <c r="K40" s="108"/>
      <c r="L40" s="72">
        <f>SUM(L38:L39)</f>
        <v>0</v>
      </c>
      <c r="M40" s="33"/>
      <c r="N40" s="8">
        <v>39</v>
      </c>
      <c r="AD40" s="6"/>
      <c r="AE40" s="6"/>
      <c r="AL40" s="6"/>
    </row>
    <row r="41" spans="1:38" ht="15.75" thickTop="1" x14ac:dyDescent="0.25">
      <c r="A41" s="63"/>
      <c r="F41" s="33"/>
      <c r="M41" s="7"/>
      <c r="N41" s="8">
        <v>40</v>
      </c>
      <c r="O41" s="6"/>
      <c r="P41" s="7"/>
      <c r="Q41" s="6"/>
      <c r="R41" s="6"/>
      <c r="S41" s="6"/>
      <c r="T41" s="7"/>
      <c r="U41" s="7"/>
      <c r="V41" s="7"/>
      <c r="W41" s="15"/>
      <c r="X41" s="13"/>
      <c r="Y41" s="13"/>
      <c r="Z41" s="7"/>
      <c r="AA41" s="6"/>
      <c r="AB41" s="24"/>
      <c r="AC41" s="6"/>
      <c r="AD41" s="6"/>
      <c r="AE41" s="6"/>
      <c r="AL41" s="6"/>
    </row>
    <row r="42" spans="1:38" x14ac:dyDescent="0.25">
      <c r="A42" s="17"/>
      <c r="B42" s="49"/>
      <c r="C42" s="17"/>
      <c r="D42" s="17"/>
      <c r="E42" s="7" t="str">
        <f>IF(B42="","",A42*C42)</f>
        <v/>
      </c>
      <c r="F42" s="33"/>
      <c r="G42" s="6"/>
      <c r="M42" s="7"/>
      <c r="N42" s="8">
        <v>41</v>
      </c>
      <c r="O42" s="6"/>
      <c r="P42" s="7"/>
      <c r="Q42" s="6"/>
      <c r="R42" s="6"/>
      <c r="S42" s="6"/>
      <c r="T42" s="7"/>
      <c r="U42" s="7"/>
      <c r="V42" s="7"/>
      <c r="W42" s="15"/>
      <c r="X42" s="7"/>
      <c r="Y42" s="7"/>
      <c r="Z42" s="7"/>
      <c r="AA42" s="6"/>
      <c r="AB42" s="24"/>
      <c r="AC42" s="6"/>
      <c r="AD42" s="6"/>
      <c r="AE42" s="6"/>
    </row>
    <row r="43" spans="1:38" x14ac:dyDescent="0.25">
      <c r="A43" s="17"/>
      <c r="B43" s="49"/>
      <c r="C43" s="17"/>
      <c r="D43" s="17"/>
      <c r="E43" s="7" t="str">
        <f>IF(B43="","",A43*C43)</f>
        <v/>
      </c>
      <c r="F43" s="7"/>
      <c r="G43" s="6"/>
      <c r="H43" s="6"/>
      <c r="I43" s="6"/>
      <c r="J43" s="6"/>
      <c r="K43" s="6"/>
      <c r="L43" s="7"/>
      <c r="M43" s="7"/>
      <c r="N43" s="8">
        <v>42</v>
      </c>
      <c r="O43" s="6"/>
      <c r="P43" s="7"/>
      <c r="Q43" s="6"/>
      <c r="R43" s="7"/>
      <c r="S43" s="7"/>
      <c r="T43" s="7"/>
      <c r="U43" s="7"/>
      <c r="V43" s="7"/>
      <c r="W43" s="15"/>
      <c r="X43" s="7"/>
      <c r="Y43" s="7"/>
      <c r="Z43" s="7"/>
      <c r="AA43" s="6"/>
      <c r="AB43" s="24"/>
      <c r="AC43" s="6"/>
      <c r="AD43" s="6"/>
      <c r="AE43" s="6"/>
      <c r="AL43" s="7"/>
    </row>
    <row r="44" spans="1:38" x14ac:dyDescent="0.25">
      <c r="A44" s="17"/>
      <c r="B44" s="49"/>
      <c r="C44" s="17"/>
      <c r="D44" s="17"/>
      <c r="E44" s="7" t="str">
        <f>IF(B44="","",A44*C44)</f>
        <v/>
      </c>
      <c r="F44" s="7"/>
      <c r="G44" s="6"/>
      <c r="H44" s="6"/>
      <c r="L44" s="27"/>
      <c r="M44" s="6"/>
      <c r="N44" s="8">
        <v>43</v>
      </c>
      <c r="P44" s="7"/>
      <c r="R44" s="27"/>
      <c r="T44" s="27"/>
      <c r="U44" s="27"/>
      <c r="V44" s="27"/>
      <c r="W44" s="15"/>
      <c r="X44" s="7"/>
      <c r="Y44" s="27"/>
      <c r="Z44" s="7"/>
      <c r="AA44" s="6"/>
      <c r="AB44" s="24"/>
      <c r="AC44" s="6"/>
      <c r="AD44" s="6"/>
      <c r="AE44" s="6"/>
      <c r="AL44" s="7"/>
    </row>
    <row r="45" spans="1:38" x14ac:dyDescent="0.25">
      <c r="F45" s="7"/>
      <c r="H45" s="6"/>
      <c r="L45" s="48"/>
      <c r="M45" s="17"/>
      <c r="N45" s="8">
        <v>44</v>
      </c>
      <c r="O45" s="6"/>
      <c r="P45" s="7"/>
      <c r="Q45" s="7"/>
      <c r="R45" s="7"/>
      <c r="S45" s="13"/>
      <c r="T45" s="13"/>
      <c r="U45" s="13"/>
      <c r="V45" s="13"/>
      <c r="W45" s="15"/>
      <c r="X45" s="13"/>
      <c r="Y45" s="13"/>
      <c r="Z45" s="13"/>
      <c r="AA45" s="6"/>
      <c r="AB45" s="24"/>
      <c r="AC45" s="6"/>
      <c r="AD45" s="6"/>
      <c r="AE45" s="6"/>
      <c r="AL45" s="7"/>
    </row>
    <row r="46" spans="1:38" x14ac:dyDescent="0.25">
      <c r="A46" s="17"/>
      <c r="B46" s="49"/>
      <c r="C46" s="17"/>
      <c r="D46" s="17"/>
      <c r="F46" s="6"/>
      <c r="G46" s="6"/>
      <c r="H46" s="6"/>
      <c r="L46" s="27"/>
      <c r="M46" s="17"/>
      <c r="N46" s="8">
        <v>45</v>
      </c>
      <c r="O46" s="6"/>
      <c r="P46" s="7"/>
      <c r="Q46" s="7"/>
      <c r="R46" s="7"/>
      <c r="S46" s="13"/>
      <c r="T46" s="13"/>
      <c r="U46" s="13"/>
      <c r="V46" s="13"/>
      <c r="W46" s="15"/>
      <c r="X46" s="13"/>
      <c r="Y46" s="13"/>
      <c r="Z46" s="13"/>
      <c r="AA46" s="6"/>
      <c r="AB46" s="24"/>
      <c r="AC46" s="6"/>
      <c r="AD46" s="6"/>
      <c r="AE46" s="6"/>
      <c r="AL46" s="7"/>
    </row>
    <row r="47" spans="1:38" x14ac:dyDescent="0.25">
      <c r="A47" s="17"/>
      <c r="B47" s="49"/>
      <c r="C47" s="17"/>
      <c r="D47" s="17"/>
      <c r="F47" s="18"/>
      <c r="H47" s="6"/>
      <c r="L47" s="48"/>
      <c r="M47" s="18"/>
      <c r="N47" s="8">
        <v>46</v>
      </c>
      <c r="O47" s="6"/>
      <c r="P47" s="7"/>
      <c r="Q47" s="7"/>
      <c r="R47" s="7"/>
      <c r="S47" s="13"/>
      <c r="T47" s="13"/>
      <c r="U47" s="13"/>
      <c r="V47" s="13"/>
      <c r="W47" s="15"/>
      <c r="X47" s="13"/>
      <c r="Y47" s="13"/>
      <c r="Z47" s="13"/>
      <c r="AA47" s="6"/>
      <c r="AB47" s="24"/>
      <c r="AC47" s="6"/>
      <c r="AD47" s="6"/>
      <c r="AE47" s="6"/>
      <c r="AL47" s="6"/>
    </row>
    <row r="48" spans="1:38" x14ac:dyDescent="0.25">
      <c r="A48" s="17"/>
      <c r="B48" s="49"/>
      <c r="C48" s="17"/>
      <c r="D48" s="17"/>
      <c r="F48" s="6"/>
      <c r="G48" s="6"/>
      <c r="H48" s="6"/>
      <c r="I48" s="19"/>
      <c r="K48" s="47"/>
      <c r="L48" s="30"/>
      <c r="M48" s="6"/>
      <c r="N48" s="8">
        <v>47</v>
      </c>
      <c r="O48" s="14"/>
      <c r="P48" s="7"/>
      <c r="Q48" s="7"/>
      <c r="R48" s="7"/>
      <c r="S48" s="13"/>
      <c r="T48" s="13"/>
      <c r="U48" s="13"/>
      <c r="V48" s="13"/>
      <c r="W48" s="15"/>
      <c r="X48" s="7"/>
      <c r="Y48" s="7"/>
      <c r="Z48" s="7"/>
      <c r="AA48" s="6"/>
      <c r="AB48" s="24"/>
      <c r="AC48" s="6"/>
      <c r="AD48" s="6"/>
      <c r="AE48" s="6"/>
      <c r="AL48" s="6"/>
    </row>
    <row r="49" spans="1:38" x14ac:dyDescent="0.25">
      <c r="A49" s="17"/>
      <c r="B49" s="49"/>
      <c r="C49" s="17"/>
      <c r="D49" s="17"/>
      <c r="F49" s="18"/>
      <c r="G49" s="6"/>
      <c r="H49" s="14"/>
      <c r="I49" s="179"/>
      <c r="J49" s="179"/>
      <c r="K49" s="6"/>
      <c r="L49" s="18"/>
      <c r="M49" s="18"/>
      <c r="N49" s="8">
        <v>48</v>
      </c>
      <c r="O49" s="6"/>
      <c r="Q49" s="6"/>
      <c r="R49" s="6"/>
      <c r="S49" s="6"/>
      <c r="T49" s="7"/>
      <c r="U49" s="7"/>
      <c r="V49" s="7"/>
      <c r="W49" s="15"/>
      <c r="X49" s="7"/>
      <c r="Y49" s="7"/>
      <c r="Z49" s="7"/>
      <c r="AA49" s="6"/>
      <c r="AB49" s="24"/>
      <c r="AC49" s="6"/>
      <c r="AD49" s="6"/>
      <c r="AE49" s="6"/>
      <c r="AL49" s="6"/>
    </row>
    <row r="50" spans="1:38" x14ac:dyDescent="0.25">
      <c r="A50" s="17"/>
      <c r="B50" s="49"/>
      <c r="C50" s="17"/>
      <c r="D50" s="17"/>
      <c r="F50" s="6"/>
      <c r="M50" s="18"/>
      <c r="N50" s="8">
        <v>49</v>
      </c>
      <c r="O50" s="20"/>
      <c r="P50" s="7"/>
      <c r="Q50" s="6"/>
      <c r="R50" s="6"/>
      <c r="S50" s="6"/>
      <c r="T50" s="6"/>
      <c r="U50" s="7"/>
      <c r="V50" s="7"/>
      <c r="W50" s="15"/>
      <c r="X50" s="7"/>
      <c r="Y50" s="7"/>
      <c r="Z50" s="7"/>
      <c r="AA50" s="6"/>
      <c r="AB50" s="24"/>
      <c r="AC50" s="6"/>
      <c r="AD50" s="6"/>
      <c r="AE50" s="6"/>
      <c r="AL50" s="6"/>
    </row>
    <row r="51" spans="1:38" x14ac:dyDescent="0.25">
      <c r="A51" s="17"/>
      <c r="B51" s="49"/>
      <c r="C51" s="17"/>
      <c r="D51" s="17"/>
      <c r="F51" s="6"/>
      <c r="G51" s="50"/>
      <c r="H51" s="6"/>
      <c r="I51" s="6"/>
      <c r="J51" s="16"/>
      <c r="K51" s="6"/>
      <c r="M51" s="18"/>
      <c r="N51" s="8">
        <v>50</v>
      </c>
      <c r="O51" s="6"/>
      <c r="P51" s="7"/>
      <c r="Q51" s="6"/>
      <c r="R51" s="6"/>
      <c r="S51" s="6"/>
      <c r="T51" s="6"/>
      <c r="U51" s="7"/>
      <c r="V51" s="7"/>
      <c r="W51" s="15"/>
      <c r="X51" s="7"/>
      <c r="Y51" s="7"/>
      <c r="Z51" s="7"/>
      <c r="AA51" s="6"/>
      <c r="AB51" s="24"/>
      <c r="AC51" s="6"/>
      <c r="AD51" s="6"/>
      <c r="AE51" s="6"/>
    </row>
    <row r="52" spans="1:38" x14ac:dyDescent="0.25">
      <c r="A52" s="17"/>
      <c r="B52" s="49"/>
      <c r="C52" s="17"/>
      <c r="D52" s="17"/>
      <c r="F52" s="6"/>
      <c r="G52" s="7"/>
      <c r="H52" s="6"/>
      <c r="I52" s="6"/>
      <c r="J52" s="16"/>
      <c r="K52" s="6"/>
      <c r="L52" s="7"/>
      <c r="M52" s="18"/>
      <c r="N52" s="8">
        <v>51</v>
      </c>
      <c r="O52" s="6"/>
      <c r="P52" s="7"/>
      <c r="Q52" s="6"/>
      <c r="R52" s="6"/>
      <c r="S52" s="6"/>
      <c r="T52" s="6"/>
      <c r="U52" s="7"/>
      <c r="V52" s="7"/>
      <c r="W52" s="15"/>
      <c r="X52" s="7"/>
      <c r="Y52" s="7"/>
      <c r="Z52" s="7"/>
      <c r="AA52" s="6"/>
      <c r="AB52" s="24"/>
      <c r="AC52" s="6"/>
      <c r="AD52" s="6"/>
      <c r="AE52" s="6"/>
    </row>
    <row r="53" spans="1:38" x14ac:dyDescent="0.25">
      <c r="A53" s="17"/>
      <c r="B53" s="49"/>
      <c r="C53" s="17"/>
      <c r="D53" s="17"/>
      <c r="F53" s="6"/>
      <c r="G53" s="6"/>
      <c r="H53" s="6"/>
      <c r="I53" s="6"/>
      <c r="J53" s="16"/>
      <c r="K53" s="6"/>
      <c r="L53" s="7"/>
      <c r="M53" s="18"/>
      <c r="N53" s="8">
        <v>52</v>
      </c>
      <c r="P53" s="7"/>
      <c r="T53" s="7"/>
      <c r="U53" s="7"/>
      <c r="V53" s="7"/>
      <c r="W53" s="15"/>
      <c r="X53" s="7"/>
      <c r="Y53" s="27"/>
      <c r="Z53" s="7"/>
      <c r="AA53" s="6"/>
      <c r="AB53" s="24"/>
      <c r="AC53" s="6"/>
      <c r="AD53" s="6"/>
      <c r="AE53" s="6"/>
    </row>
    <row r="54" spans="1:38" x14ac:dyDescent="0.25">
      <c r="A54" s="17"/>
      <c r="B54" s="49"/>
      <c r="C54" s="17"/>
      <c r="D54" s="17"/>
      <c r="F54" s="6"/>
      <c r="G54" s="6"/>
      <c r="H54" s="6"/>
      <c r="I54" s="6"/>
      <c r="J54" s="8"/>
      <c r="K54" s="6"/>
      <c r="L54" s="18"/>
      <c r="M54" s="18"/>
      <c r="N54" s="8">
        <v>53</v>
      </c>
      <c r="P54" s="7"/>
      <c r="T54" s="27"/>
      <c r="U54" s="27"/>
      <c r="V54" s="27"/>
      <c r="W54" s="15"/>
      <c r="X54" s="7"/>
      <c r="Y54" s="27"/>
      <c r="Z54" s="7"/>
      <c r="AA54" s="6"/>
      <c r="AB54" s="24"/>
      <c r="AC54" s="6"/>
      <c r="AD54" s="6"/>
      <c r="AE54" s="6"/>
    </row>
    <row r="55" spans="1:38" x14ac:dyDescent="0.25">
      <c r="A55" s="17"/>
      <c r="B55" s="49"/>
      <c r="C55" s="17"/>
      <c r="D55" s="17"/>
      <c r="E55" s="6"/>
      <c r="F55" s="6"/>
      <c r="G55" s="6"/>
      <c r="H55" s="32"/>
      <c r="I55" s="8"/>
      <c r="J55" s="5"/>
      <c r="K55" s="6"/>
      <c r="L55" s="6"/>
      <c r="M55" s="6"/>
      <c r="N55" s="8">
        <v>54</v>
      </c>
      <c r="P55" s="7"/>
      <c r="T55" s="24"/>
      <c r="U55" s="7"/>
      <c r="V55" s="24"/>
      <c r="W55" s="15"/>
      <c r="X55" s="7"/>
      <c r="Y55" s="27"/>
      <c r="Z55" s="7"/>
      <c r="AA55" s="6"/>
      <c r="AB55" s="24"/>
      <c r="AC55" s="6"/>
      <c r="AD55" s="6"/>
      <c r="AE55" s="6"/>
    </row>
    <row r="56" spans="1:38" x14ac:dyDescent="0.25">
      <c r="B56" s="6"/>
      <c r="C56" s="6"/>
      <c r="D56" s="6"/>
      <c r="E56" s="7"/>
      <c r="F56" s="6"/>
      <c r="G56" s="6"/>
      <c r="H56" s="171"/>
      <c r="I56" s="171"/>
      <c r="J56" s="171"/>
      <c r="K56" s="6"/>
      <c r="L56" s="6"/>
      <c r="M56" s="6"/>
      <c r="N56" s="6">
        <v>55</v>
      </c>
      <c r="P56" s="7"/>
      <c r="T56" s="24"/>
      <c r="U56" s="7"/>
      <c r="V56" s="24"/>
      <c r="W56" s="15"/>
      <c r="X56" s="7"/>
      <c r="Y56" s="27"/>
      <c r="Z56" s="7"/>
      <c r="AA56" s="6"/>
      <c r="AB56" s="24"/>
      <c r="AC56" s="6"/>
      <c r="AD56" s="6"/>
      <c r="AE56" s="6"/>
      <c r="AL56" s="6"/>
    </row>
    <row r="57" spans="1:38" x14ac:dyDescent="0.25">
      <c r="A57" s="17"/>
      <c r="B57" s="49"/>
      <c r="C57" s="17"/>
      <c r="D57" s="17"/>
      <c r="E57" s="7"/>
      <c r="F57" s="6"/>
      <c r="G57" s="6"/>
      <c r="H57" s="32"/>
      <c r="I57" s="14"/>
      <c r="J57" s="22"/>
      <c r="K57" s="6"/>
      <c r="L57" s="6"/>
      <c r="M57" s="6"/>
      <c r="N57" s="6">
        <v>56</v>
      </c>
      <c r="O57" s="24"/>
      <c r="P57" s="6"/>
      <c r="Q57" s="6"/>
      <c r="R57" s="6"/>
      <c r="S57" s="6"/>
      <c r="T57" s="7"/>
      <c r="U57" s="7"/>
      <c r="V57" s="7"/>
      <c r="W57" s="15"/>
      <c r="X57" s="7"/>
      <c r="Y57" s="7"/>
      <c r="Z57" s="7"/>
      <c r="AA57" s="6"/>
      <c r="AB57" s="24"/>
      <c r="AC57" s="6"/>
      <c r="AD57" s="6"/>
      <c r="AE57" s="6"/>
      <c r="AL57" s="6"/>
    </row>
    <row r="58" spans="1:38" x14ac:dyDescent="0.25">
      <c r="A58" s="17"/>
      <c r="B58" s="49"/>
      <c r="C58" s="17"/>
      <c r="D58" s="17"/>
      <c r="E58" s="7"/>
      <c r="F58" s="6"/>
      <c r="G58" s="6"/>
      <c r="H58" s="171"/>
      <c r="I58" s="171"/>
      <c r="J58" s="171"/>
      <c r="K58" s="6"/>
      <c r="L58" s="6"/>
      <c r="M58" s="6"/>
      <c r="N58" s="6">
        <v>57</v>
      </c>
      <c r="O58" s="6"/>
      <c r="P58" s="6"/>
      <c r="Q58" s="6"/>
      <c r="R58" s="6"/>
      <c r="S58" s="45"/>
      <c r="T58" s="7"/>
      <c r="U58" s="7"/>
      <c r="V58" s="7"/>
      <c r="W58" s="15"/>
      <c r="X58" s="7"/>
      <c r="Y58" s="7"/>
      <c r="Z58" s="7"/>
      <c r="AA58" s="6"/>
      <c r="AB58" s="24"/>
      <c r="AC58" s="6"/>
      <c r="AD58" s="6"/>
      <c r="AE58" s="6"/>
      <c r="AL58" s="6"/>
    </row>
    <row r="59" spans="1:38" x14ac:dyDescent="0.25">
      <c r="A59" s="17"/>
      <c r="B59" s="49"/>
      <c r="C59" s="17"/>
      <c r="D59" s="17"/>
      <c r="E59" s="7"/>
      <c r="F59" s="6"/>
      <c r="G59" s="7"/>
      <c r="H59" s="24"/>
      <c r="K59" s="6"/>
      <c r="L59" s="6"/>
      <c r="M59" s="6"/>
      <c r="N59" s="6">
        <v>58</v>
      </c>
      <c r="O59" s="6"/>
      <c r="P59" s="6"/>
      <c r="Q59" s="6"/>
      <c r="R59" s="6"/>
      <c r="S59" s="6"/>
      <c r="T59" s="7"/>
      <c r="U59" s="7"/>
      <c r="V59" s="7"/>
      <c r="W59" s="15"/>
      <c r="X59" s="7"/>
      <c r="Y59" s="7"/>
      <c r="Z59" s="7"/>
      <c r="AA59" s="6"/>
      <c r="AB59" s="24"/>
      <c r="AC59" s="6"/>
      <c r="AD59" s="6"/>
      <c r="AE59" s="6"/>
      <c r="AL59" s="6"/>
    </row>
    <row r="60" spans="1:38" x14ac:dyDescent="0.25">
      <c r="B60" s="6"/>
      <c r="C60" s="6"/>
      <c r="D60" s="6"/>
      <c r="E60" s="7"/>
      <c r="F60" s="6"/>
      <c r="G60" s="7"/>
      <c r="H60" s="46"/>
      <c r="I60"/>
      <c r="J60"/>
      <c r="K60" s="31"/>
      <c r="L60" s="31"/>
      <c r="M60"/>
      <c r="N60" s="6">
        <v>59</v>
      </c>
      <c r="P60" s="6"/>
      <c r="Q60" s="6"/>
      <c r="R60" s="6"/>
      <c r="T60" s="24"/>
      <c r="U60" s="7"/>
      <c r="V60" s="7"/>
      <c r="W60" s="15"/>
      <c r="X60" s="7"/>
      <c r="Y60" s="27"/>
      <c r="Z60" s="7"/>
      <c r="AA60" s="6"/>
      <c r="AB60" s="24"/>
      <c r="AC60" s="6"/>
      <c r="AD60" s="6"/>
      <c r="AE60" s="6"/>
      <c r="AL60" s="6"/>
    </row>
    <row r="61" spans="1:38" x14ac:dyDescent="0.25">
      <c r="F61" s="6"/>
      <c r="G61" s="6"/>
      <c r="H61" s="14"/>
      <c r="I61" s="14"/>
      <c r="J61" s="22"/>
      <c r="M61" s="6"/>
      <c r="N61" s="6">
        <v>60</v>
      </c>
      <c r="O61" s="6"/>
      <c r="P61" s="6"/>
      <c r="Q61" s="6"/>
      <c r="R61" s="6"/>
      <c r="S61" s="6"/>
      <c r="T61" s="24"/>
      <c r="U61" s="13"/>
      <c r="V61" s="13"/>
      <c r="W61" s="15"/>
      <c r="X61" s="7"/>
      <c r="Y61" s="13"/>
      <c r="Z61" s="7"/>
      <c r="AA61" s="6"/>
      <c r="AB61" s="24"/>
      <c r="AC61" s="6"/>
      <c r="AD61" s="6"/>
      <c r="AE61" s="6"/>
      <c r="AL61" s="6"/>
    </row>
    <row r="62" spans="1:38" x14ac:dyDescent="0.25">
      <c r="C62" s="6"/>
      <c r="D62" s="6"/>
      <c r="E62" s="6"/>
      <c r="F62" s="6"/>
      <c r="G62" s="6"/>
      <c r="H62" s="14"/>
      <c r="I62" s="14"/>
      <c r="J62" s="22"/>
      <c r="K62" s="6"/>
      <c r="L62" s="18"/>
      <c r="M62" s="14"/>
      <c r="N62">
        <v>61</v>
      </c>
      <c r="U62" s="7"/>
      <c r="V62" s="13"/>
      <c r="W62" s="15"/>
      <c r="X62" s="7"/>
      <c r="Y62" s="7"/>
      <c r="Z62" s="7"/>
      <c r="AA62" s="6"/>
      <c r="AB62" s="24"/>
      <c r="AC62" s="6"/>
      <c r="AD62" s="6"/>
      <c r="AE62" s="6"/>
      <c r="AL62" s="6"/>
    </row>
    <row r="63" spans="1:38" x14ac:dyDescent="0.25">
      <c r="M63" s="6"/>
      <c r="N63" s="6">
        <v>62</v>
      </c>
      <c r="O63" s="6"/>
      <c r="P63" s="6"/>
      <c r="Q63" s="6"/>
      <c r="R63" s="6"/>
      <c r="S63" s="6"/>
      <c r="T63" s="24"/>
      <c r="U63" s="7"/>
      <c r="V63" s="13"/>
      <c r="W63" s="15"/>
      <c r="X63" s="7"/>
      <c r="Y63" s="7"/>
      <c r="Z63" s="7"/>
      <c r="AA63" s="6"/>
      <c r="AB63" s="24"/>
      <c r="AC63" s="6"/>
      <c r="AD63" s="6"/>
      <c r="AE63" s="6"/>
      <c r="AL63" s="6"/>
    </row>
    <row r="64" spans="1:38" x14ac:dyDescent="0.25">
      <c r="A64" s="6"/>
      <c r="C64" s="6"/>
      <c r="D64" s="6"/>
      <c r="E64" s="6"/>
      <c r="F64" s="6"/>
      <c r="G64" s="6"/>
      <c r="H64" s="34"/>
      <c r="I64" s="14"/>
      <c r="J64" s="22"/>
      <c r="K64" s="6"/>
      <c r="L64" s="18"/>
      <c r="M64" s="14"/>
      <c r="N64" s="6">
        <v>63</v>
      </c>
      <c r="O64" s="20"/>
      <c r="P64" s="6"/>
      <c r="Q64" s="6"/>
      <c r="R64" s="6"/>
      <c r="T64" s="6"/>
      <c r="U64" s="7"/>
      <c r="V64" s="7"/>
      <c r="W64" s="15"/>
      <c r="X64" s="7"/>
      <c r="Y64" s="7"/>
      <c r="Z64" s="7"/>
      <c r="AA64" s="6"/>
      <c r="AB64" s="24"/>
      <c r="AC64" s="6"/>
      <c r="AD64" s="6"/>
      <c r="AE64" s="6"/>
      <c r="AL64" s="6"/>
    </row>
    <row r="65" spans="1:38" x14ac:dyDescent="0.25">
      <c r="A65" s="6"/>
      <c r="B65" s="6"/>
      <c r="C65" s="6"/>
      <c r="D65" s="6"/>
      <c r="E65" s="6"/>
      <c r="F65" s="6"/>
      <c r="G65" s="6"/>
      <c r="H65" s="14"/>
      <c r="I65" s="14"/>
      <c r="J65" s="14"/>
      <c r="K65" s="14"/>
      <c r="L65" s="14"/>
      <c r="M65" s="14"/>
      <c r="N65" s="6">
        <v>64</v>
      </c>
      <c r="P65" s="6"/>
      <c r="Q65" s="6"/>
      <c r="R65" s="6"/>
      <c r="T65" s="7"/>
      <c r="U65" s="7"/>
      <c r="V65" s="7"/>
      <c r="W65" s="15"/>
      <c r="X65" s="7"/>
      <c r="Y65" s="27"/>
      <c r="Z65" s="7"/>
      <c r="AA65" s="6"/>
      <c r="AB65" s="24"/>
      <c r="AC65" s="6"/>
      <c r="AD65" s="6"/>
      <c r="AE65" s="6"/>
      <c r="AL65" s="6"/>
    </row>
    <row r="66" spans="1:38" x14ac:dyDescent="0.25">
      <c r="A66" s="6"/>
      <c r="B66" s="6"/>
      <c r="C66" s="6"/>
      <c r="D66" s="6"/>
      <c r="E66" s="6"/>
      <c r="F66" s="6"/>
      <c r="G66" s="6"/>
      <c r="H66" s="14"/>
      <c r="I66" s="14"/>
      <c r="J66" s="14"/>
      <c r="K66" s="14"/>
      <c r="L66" s="14"/>
      <c r="M66" s="14"/>
      <c r="N66" s="6">
        <v>65</v>
      </c>
      <c r="O66" s="6"/>
      <c r="P66" s="6"/>
      <c r="Q66" s="6"/>
      <c r="R66" s="6"/>
      <c r="S66" s="6"/>
      <c r="T66" s="7"/>
      <c r="U66" s="7"/>
      <c r="V66" s="7"/>
      <c r="W66" s="15"/>
      <c r="X66" s="7"/>
      <c r="Y66" s="7"/>
      <c r="Z66" s="7"/>
      <c r="AA66" s="6"/>
      <c r="AB66" s="24"/>
      <c r="AC66" s="6"/>
      <c r="AD66" s="6"/>
      <c r="AE66" s="6"/>
      <c r="AL66" s="6"/>
    </row>
    <row r="67" spans="1:38" x14ac:dyDescent="0.25">
      <c r="A67" s="6"/>
      <c r="B67" s="6"/>
      <c r="C67" s="6"/>
      <c r="D67" s="6"/>
      <c r="E67" s="6"/>
      <c r="F67" s="6"/>
      <c r="G67" s="6"/>
      <c r="H67" s="14"/>
      <c r="I67" s="14"/>
      <c r="J67" s="14"/>
      <c r="K67" s="14"/>
      <c r="L67" s="14"/>
      <c r="N67" s="6">
        <v>66</v>
      </c>
      <c r="O67" s="6"/>
      <c r="P67" s="6"/>
      <c r="Q67" s="6"/>
      <c r="R67" s="6"/>
      <c r="S67" s="6"/>
      <c r="T67" s="24"/>
      <c r="U67" s="13"/>
      <c r="V67" s="13"/>
      <c r="W67" s="15"/>
      <c r="X67" s="7"/>
      <c r="Y67" s="13"/>
      <c r="Z67" s="7"/>
      <c r="AA67" s="6"/>
      <c r="AB67" s="24"/>
      <c r="AL67" s="6"/>
    </row>
    <row r="68" spans="1:38" x14ac:dyDescent="0.25">
      <c r="A68" s="6"/>
      <c r="B68" s="6"/>
      <c r="C68" s="6"/>
      <c r="D68" s="6"/>
      <c r="E68" s="6"/>
      <c r="F68" s="6"/>
      <c r="G68" s="6"/>
      <c r="H68" s="14"/>
      <c r="I68" s="14"/>
      <c r="J68" s="14"/>
      <c r="K68" s="14"/>
      <c r="L68" s="14"/>
      <c r="N68" s="1">
        <v>67</v>
      </c>
      <c r="O68" s="6"/>
      <c r="P68" s="6"/>
      <c r="Q68" s="6"/>
      <c r="R68" s="6"/>
      <c r="S68" s="6"/>
      <c r="T68" s="7"/>
      <c r="U68" s="7"/>
      <c r="V68" s="7"/>
      <c r="W68" s="15"/>
      <c r="X68" s="7"/>
      <c r="Y68" s="7"/>
      <c r="Z68" s="7"/>
      <c r="AA68" s="6"/>
      <c r="AB68" s="24"/>
      <c r="AL68" s="6"/>
    </row>
    <row r="69" spans="1:38" x14ac:dyDescent="0.25">
      <c r="A69" s="6"/>
      <c r="B69" s="6"/>
      <c r="C69" s="6"/>
      <c r="D69" s="6"/>
      <c r="E69" s="6"/>
      <c r="F69" s="6"/>
      <c r="G69" s="6"/>
      <c r="H69" s="14"/>
      <c r="I69" s="14"/>
      <c r="J69" s="14"/>
      <c r="K69" s="14"/>
      <c r="L69" s="14"/>
      <c r="N69" s="1">
        <v>68</v>
      </c>
      <c r="O69" s="6"/>
      <c r="P69" s="6"/>
      <c r="Q69" s="6"/>
      <c r="R69" s="6"/>
      <c r="S69" s="6"/>
      <c r="T69" s="7"/>
      <c r="U69" s="7"/>
      <c r="V69" s="7"/>
      <c r="W69" s="15"/>
      <c r="X69" s="7"/>
      <c r="Y69" s="7"/>
      <c r="Z69" s="7"/>
      <c r="AA69" s="6"/>
      <c r="AB69" s="24"/>
      <c r="AL69" s="6"/>
    </row>
    <row r="70" spans="1:38" x14ac:dyDescent="0.25">
      <c r="A70" s="6"/>
      <c r="B70" s="6"/>
      <c r="C70" s="6"/>
      <c r="D70" s="6"/>
      <c r="E70" s="6"/>
      <c r="F70" s="6"/>
      <c r="G70" s="6"/>
      <c r="H70" s="14"/>
      <c r="I70" s="14"/>
      <c r="J70" s="14"/>
      <c r="K70" s="14"/>
      <c r="L70" s="14"/>
      <c r="N70" s="1">
        <v>69</v>
      </c>
      <c r="O70" s="6"/>
      <c r="P70" s="6"/>
      <c r="Q70" s="6"/>
      <c r="R70" s="6"/>
      <c r="S70" s="6"/>
      <c r="T70" s="7"/>
      <c r="U70" s="7"/>
      <c r="V70" s="7"/>
      <c r="W70" s="15"/>
      <c r="X70" s="7"/>
      <c r="Y70" s="7"/>
      <c r="Z70" s="7"/>
      <c r="AA70" s="6"/>
      <c r="AB70" s="24"/>
      <c r="AL70" s="6"/>
    </row>
    <row r="71" spans="1:38" x14ac:dyDescent="0.25">
      <c r="A71" s="6"/>
      <c r="B71" s="6"/>
      <c r="C71" s="6"/>
      <c r="D71" s="6"/>
      <c r="E71" s="6"/>
      <c r="F71" s="6"/>
      <c r="G71" s="6"/>
      <c r="H71" s="14"/>
      <c r="I71" s="14"/>
      <c r="J71" s="14"/>
      <c r="K71" s="14"/>
      <c r="L71" s="14"/>
      <c r="N71" s="1">
        <v>70</v>
      </c>
      <c r="O71" s="6"/>
      <c r="P71" s="6"/>
      <c r="Q71" s="6"/>
      <c r="R71" s="6"/>
      <c r="S71" s="6"/>
      <c r="T71" s="7"/>
      <c r="U71" s="7"/>
      <c r="V71" s="7"/>
      <c r="W71" s="15"/>
      <c r="X71" s="7"/>
      <c r="Y71" s="7"/>
      <c r="Z71" s="7"/>
      <c r="AA71" s="6"/>
      <c r="AB71" s="24"/>
    </row>
    <row r="72" spans="1:38" x14ac:dyDescent="0.25">
      <c r="A72" s="6"/>
      <c r="B72" s="6"/>
      <c r="C72" s="6"/>
      <c r="D72" s="6"/>
      <c r="E72" s="6"/>
      <c r="F72" s="6"/>
      <c r="G72" s="6"/>
      <c r="H72" s="14"/>
      <c r="I72" s="14"/>
      <c r="J72" s="14"/>
      <c r="K72" s="14"/>
      <c r="L72" s="14"/>
      <c r="N72" s="1">
        <v>71</v>
      </c>
      <c r="P72" s="6"/>
      <c r="T72" s="27"/>
      <c r="U72" s="27"/>
      <c r="V72" s="27"/>
      <c r="W72" s="15"/>
      <c r="X72" s="27"/>
      <c r="Y72" s="27"/>
      <c r="Z72" s="7"/>
      <c r="AA72" s="6"/>
      <c r="AB72" s="24"/>
      <c r="AL72" s="6"/>
    </row>
    <row r="73" spans="1:38" x14ac:dyDescent="0.25">
      <c r="A73" s="6"/>
      <c r="B73" s="6"/>
      <c r="C73" s="6"/>
      <c r="D73" s="6"/>
      <c r="E73" s="6"/>
      <c r="F73" s="6"/>
      <c r="G73" s="6"/>
      <c r="H73" s="14"/>
      <c r="I73" s="14"/>
      <c r="J73" s="14"/>
      <c r="K73" s="14"/>
      <c r="L73" s="14"/>
      <c r="N73" s="1">
        <v>72</v>
      </c>
      <c r="O73" s="6"/>
      <c r="P73" s="6"/>
      <c r="Q73" s="6"/>
      <c r="R73" s="6"/>
      <c r="T73" s="7"/>
      <c r="U73" s="7"/>
      <c r="V73" s="27"/>
      <c r="W73" s="15"/>
      <c r="X73" s="6"/>
      <c r="Y73" s="7"/>
      <c r="Z73" s="7"/>
      <c r="AA73" s="6"/>
      <c r="AB73" s="24"/>
    </row>
    <row r="74" spans="1:38" x14ac:dyDescent="0.25">
      <c r="A74" s="6"/>
      <c r="B74" s="6"/>
      <c r="C74" s="6"/>
      <c r="D74" s="6"/>
      <c r="E74" s="6"/>
      <c r="F74" s="6"/>
      <c r="G74" s="6"/>
      <c r="H74" s="14"/>
      <c r="I74" s="14"/>
      <c r="J74" s="14"/>
      <c r="K74" s="14"/>
      <c r="L74" s="14"/>
      <c r="N74" s="1">
        <v>73</v>
      </c>
      <c r="P74" s="6"/>
      <c r="T74" s="27"/>
      <c r="U74" s="27"/>
      <c r="V74" s="27"/>
      <c r="W74" s="15"/>
      <c r="X74" s="7"/>
      <c r="Y74" s="27"/>
      <c r="Z74" s="7"/>
      <c r="AA74" s="6"/>
      <c r="AB74" s="24"/>
    </row>
    <row r="75" spans="1:38" x14ac:dyDescent="0.25">
      <c r="A75" s="6"/>
      <c r="B75" s="6"/>
      <c r="C75" s="6"/>
      <c r="D75" s="6"/>
      <c r="E75" s="6"/>
      <c r="F75" s="6"/>
      <c r="G75" s="6"/>
      <c r="H75" s="14"/>
      <c r="I75" s="14"/>
      <c r="J75" s="14"/>
      <c r="K75" s="14"/>
      <c r="L75" s="14"/>
      <c r="N75" s="1">
        <v>74</v>
      </c>
      <c r="P75" s="6"/>
      <c r="T75" s="24"/>
      <c r="U75" s="7"/>
      <c r="V75" s="24"/>
      <c r="W75" s="15"/>
      <c r="X75" s="7"/>
      <c r="Y75" s="27"/>
      <c r="Z75" s="7"/>
      <c r="AA75" s="6"/>
      <c r="AB75" s="24"/>
      <c r="AL75" s="6"/>
    </row>
    <row r="76" spans="1:38" x14ac:dyDescent="0.25">
      <c r="A76" s="6"/>
      <c r="B76" s="6"/>
      <c r="C76" s="6"/>
      <c r="D76" s="6"/>
      <c r="E76" s="6"/>
      <c r="F76" s="6"/>
      <c r="G76" s="6"/>
      <c r="H76" s="14"/>
      <c r="I76" s="14"/>
      <c r="J76" s="14"/>
      <c r="K76" s="14"/>
      <c r="L76" s="14"/>
      <c r="N76" s="1">
        <v>75</v>
      </c>
      <c r="O76" s="6"/>
      <c r="P76" s="6"/>
      <c r="Q76" s="6"/>
      <c r="R76" s="6"/>
      <c r="S76" s="6"/>
      <c r="T76" s="7"/>
      <c r="U76" s="7"/>
      <c r="V76" s="7"/>
      <c r="W76" s="15"/>
      <c r="X76" s="7"/>
      <c r="Y76" s="7"/>
      <c r="Z76" s="7"/>
      <c r="AA76" s="6"/>
      <c r="AB76" s="24"/>
      <c r="AL76" s="6"/>
    </row>
    <row r="77" spans="1:38" x14ac:dyDescent="0.25">
      <c r="A77" s="6"/>
      <c r="B77" s="6"/>
      <c r="C77" s="6"/>
      <c r="D77" s="6"/>
      <c r="E77" s="6"/>
      <c r="F77" s="6"/>
      <c r="G77" s="6"/>
      <c r="H77" s="14"/>
      <c r="I77" s="14"/>
      <c r="J77" s="14"/>
      <c r="K77" s="14"/>
      <c r="L77" s="14"/>
      <c r="N77" s="1">
        <v>76</v>
      </c>
      <c r="O77" s="6"/>
      <c r="P77" s="6"/>
      <c r="Q77" s="6"/>
      <c r="R77" s="6"/>
      <c r="S77" s="6"/>
      <c r="T77" s="7"/>
      <c r="U77" s="7"/>
      <c r="V77" s="7"/>
      <c r="W77" s="15"/>
      <c r="X77" s="7"/>
      <c r="Y77" s="7"/>
      <c r="Z77" s="7"/>
      <c r="AA77" s="6"/>
      <c r="AB77" s="24"/>
      <c r="AL77" s="6"/>
    </row>
    <row r="78" spans="1:38" x14ac:dyDescent="0.25">
      <c r="A78" s="6"/>
      <c r="B78" s="6"/>
      <c r="C78" s="6"/>
      <c r="D78" s="6"/>
      <c r="E78" s="6"/>
      <c r="F78" s="6"/>
      <c r="G78" s="6"/>
      <c r="H78" s="14"/>
      <c r="I78" s="14"/>
      <c r="J78" s="14"/>
      <c r="K78" s="14"/>
      <c r="L78" s="14"/>
      <c r="N78" s="1">
        <v>77</v>
      </c>
      <c r="O78" s="6"/>
      <c r="P78" s="6"/>
      <c r="Q78" s="6"/>
      <c r="R78" s="6"/>
      <c r="S78" s="6"/>
      <c r="T78" s="7"/>
      <c r="U78" s="7"/>
      <c r="V78" s="7"/>
      <c r="W78" s="15"/>
      <c r="X78" s="7"/>
      <c r="Y78" s="7"/>
      <c r="Z78" s="7"/>
      <c r="AA78" s="6"/>
      <c r="AB78" s="24"/>
      <c r="AL78" s="6"/>
    </row>
    <row r="79" spans="1:38" x14ac:dyDescent="0.25">
      <c r="N79" s="1">
        <v>78</v>
      </c>
      <c r="O79" s="6"/>
      <c r="P79" s="6"/>
      <c r="Q79" s="6"/>
      <c r="R79" s="6"/>
      <c r="T79" s="13"/>
      <c r="U79" s="7"/>
      <c r="V79" s="13"/>
      <c r="W79" s="15"/>
      <c r="X79" s="7"/>
      <c r="Y79" s="7"/>
      <c r="Z79" s="7"/>
      <c r="AA79" s="6"/>
      <c r="AB79" s="24"/>
      <c r="AL79" s="6"/>
    </row>
    <row r="80" spans="1:38" x14ac:dyDescent="0.25">
      <c r="N80" s="1">
        <v>79</v>
      </c>
      <c r="O80" s="6"/>
      <c r="P80" s="6"/>
      <c r="Q80" s="6"/>
      <c r="R80" s="6"/>
      <c r="S80" s="6"/>
      <c r="T80" s="7"/>
      <c r="U80" s="7"/>
      <c r="V80" s="7"/>
      <c r="W80" s="15"/>
      <c r="X80" s="7"/>
      <c r="Y80" s="7"/>
      <c r="Z80" s="7"/>
      <c r="AA80" s="6"/>
      <c r="AB80" s="24"/>
      <c r="AL80" s="6"/>
    </row>
    <row r="81" spans="2:38" x14ac:dyDescent="0.25">
      <c r="N81" s="1">
        <v>80</v>
      </c>
      <c r="O81" s="6"/>
      <c r="P81" s="6"/>
      <c r="Q81" s="6"/>
      <c r="R81" s="6"/>
      <c r="S81" s="6"/>
      <c r="T81" s="7"/>
      <c r="U81" s="7"/>
      <c r="V81" s="7"/>
      <c r="W81" s="15"/>
      <c r="X81" s="7"/>
      <c r="Y81" s="7"/>
      <c r="Z81" s="7"/>
      <c r="AA81" s="6"/>
      <c r="AB81" s="24"/>
      <c r="AL81" s="6"/>
    </row>
    <row r="82" spans="2:38" x14ac:dyDescent="0.25">
      <c r="N82" s="1">
        <v>81</v>
      </c>
      <c r="O82" s="6"/>
      <c r="P82" s="6"/>
      <c r="Q82" s="6"/>
      <c r="R82" s="6"/>
      <c r="S82" s="6"/>
      <c r="T82" s="7"/>
      <c r="U82" s="7"/>
      <c r="V82" s="7"/>
      <c r="W82" s="15"/>
      <c r="X82" s="7"/>
      <c r="Y82" s="7"/>
      <c r="Z82" s="7"/>
      <c r="AA82" s="6"/>
      <c r="AB82" s="24"/>
      <c r="AL82" s="6"/>
    </row>
    <row r="83" spans="2:38" x14ac:dyDescent="0.25">
      <c r="N83" s="1">
        <v>82</v>
      </c>
      <c r="O83" s="6"/>
      <c r="P83" s="6"/>
      <c r="Q83" s="6"/>
      <c r="R83" s="6"/>
      <c r="S83" s="6"/>
      <c r="T83" s="7"/>
      <c r="U83" s="7"/>
      <c r="V83" s="7"/>
      <c r="W83" s="15"/>
      <c r="X83" s="7"/>
      <c r="Y83" s="7"/>
      <c r="Z83" s="7"/>
      <c r="AA83" s="6"/>
      <c r="AB83" s="24"/>
      <c r="AL83" s="6"/>
    </row>
    <row r="84" spans="2:38" x14ac:dyDescent="0.25">
      <c r="N84" s="1">
        <v>83</v>
      </c>
      <c r="O84" s="6"/>
      <c r="P84" s="6"/>
      <c r="Q84" s="6"/>
      <c r="R84" s="6"/>
      <c r="S84" s="6"/>
      <c r="T84" s="6"/>
      <c r="U84" s="6"/>
      <c r="V84" s="6"/>
      <c r="W84" s="6"/>
      <c r="X84" s="6"/>
      <c r="Y84" s="6"/>
      <c r="Z84" s="6"/>
      <c r="AA84" s="6"/>
      <c r="AB84" s="24"/>
      <c r="AL84" s="6"/>
    </row>
    <row r="85" spans="2:38" x14ac:dyDescent="0.25">
      <c r="N85" s="1">
        <v>84</v>
      </c>
      <c r="O85" s="6"/>
      <c r="P85" s="6"/>
      <c r="Q85" s="6"/>
      <c r="R85" s="6"/>
      <c r="S85" s="6"/>
      <c r="T85" s="6"/>
      <c r="U85" s="6"/>
      <c r="V85" s="6"/>
      <c r="W85" s="6"/>
      <c r="X85" s="6"/>
      <c r="Y85" s="6"/>
      <c r="Z85" s="6"/>
      <c r="AA85" s="6"/>
      <c r="AB85" s="24"/>
    </row>
    <row r="86" spans="2:38" x14ac:dyDescent="0.25">
      <c r="N86" s="1">
        <v>85</v>
      </c>
      <c r="O86" s="6"/>
      <c r="P86" s="6"/>
      <c r="Q86" s="6"/>
      <c r="R86" s="6"/>
      <c r="S86" s="6"/>
      <c r="T86" s="6"/>
      <c r="U86" s="6"/>
      <c r="V86" s="6"/>
      <c r="W86" s="6"/>
      <c r="X86" s="6"/>
      <c r="Y86" s="6"/>
      <c r="Z86" s="6"/>
      <c r="AA86" s="6"/>
      <c r="AB86" s="24"/>
    </row>
    <row r="87" spans="2:38" x14ac:dyDescent="0.25">
      <c r="O87" s="6" t="s">
        <v>19</v>
      </c>
      <c r="P87" s="6"/>
      <c r="Q87" s="6"/>
      <c r="R87" s="6"/>
      <c r="S87" s="6"/>
      <c r="T87" s="6"/>
      <c r="U87" s="6"/>
      <c r="V87" s="6"/>
      <c r="W87" s="6"/>
      <c r="X87" s="6"/>
      <c r="Y87" s="6"/>
      <c r="Z87" s="6"/>
      <c r="AA87" s="6"/>
    </row>
    <row r="88" spans="2:38" x14ac:dyDescent="0.25">
      <c r="B88" s="4"/>
      <c r="C88" s="4"/>
      <c r="D88" s="4"/>
      <c r="E88" s="4"/>
      <c r="F88" s="4"/>
      <c r="G88" s="4"/>
      <c r="H88" s="4"/>
      <c r="I88" s="4"/>
      <c r="J88" s="4"/>
      <c r="K88" s="4"/>
      <c r="L88" s="4"/>
      <c r="M88" s="4"/>
      <c r="O88" s="24" t="s">
        <v>20</v>
      </c>
      <c r="P88" s="6"/>
      <c r="Q88" s="6"/>
      <c r="R88" s="6"/>
      <c r="S88" s="6"/>
      <c r="T88" s="6"/>
      <c r="U88" s="6"/>
      <c r="V88" s="6"/>
      <c r="W88" s="6"/>
      <c r="X88" s="6"/>
      <c r="Y88" s="6"/>
      <c r="Z88" s="31" t="s">
        <v>21</v>
      </c>
      <c r="AA88" s="31"/>
    </row>
    <row r="89" spans="2:38" x14ac:dyDescent="0.25">
      <c r="B89" s="4"/>
      <c r="C89" s="4"/>
      <c r="D89" s="4"/>
      <c r="E89" s="4"/>
      <c r="F89" s="4"/>
      <c r="G89" s="4"/>
      <c r="H89" s="4"/>
      <c r="I89" s="4"/>
      <c r="J89" s="4"/>
      <c r="K89" s="4"/>
      <c r="L89" s="4"/>
      <c r="M89" s="4"/>
      <c r="N89" s="4"/>
      <c r="P89" s="6"/>
      <c r="S89" s="6"/>
      <c r="T89" s="6"/>
      <c r="U89" s="6"/>
      <c r="V89" s="6"/>
      <c r="W89" s="6"/>
      <c r="X89" s="6"/>
      <c r="Y89" s="6"/>
      <c r="Z89" s="6"/>
      <c r="AA89" s="6"/>
    </row>
    <row r="90" spans="2:38" x14ac:dyDescent="0.25">
      <c r="B90" s="4"/>
      <c r="C90" s="4"/>
      <c r="D90" s="4"/>
      <c r="E90" s="4"/>
      <c r="F90" s="4"/>
      <c r="G90" s="4"/>
      <c r="H90" s="4"/>
      <c r="I90" s="4"/>
      <c r="J90" s="4"/>
      <c r="K90" s="4"/>
      <c r="L90" s="4"/>
      <c r="M90" s="4"/>
      <c r="N90" s="4"/>
      <c r="O90" s="6"/>
      <c r="P90" s="6"/>
      <c r="Q90" s="6"/>
      <c r="R90" s="6"/>
      <c r="S90" s="6"/>
      <c r="T90" s="6"/>
      <c r="U90" s="6"/>
      <c r="V90" s="6"/>
      <c r="W90" s="6"/>
      <c r="X90" s="6"/>
      <c r="Y90" s="6"/>
      <c r="Z90" s="6"/>
      <c r="AA90" s="6"/>
    </row>
    <row r="91" spans="2:38" x14ac:dyDescent="0.25">
      <c r="B91" s="4"/>
      <c r="C91" s="4"/>
      <c r="D91" s="4"/>
      <c r="E91" s="4"/>
      <c r="F91" s="4"/>
      <c r="G91" s="4"/>
      <c r="H91" s="4"/>
      <c r="I91" s="4"/>
      <c r="J91" s="4"/>
      <c r="K91" s="4"/>
      <c r="L91" s="4"/>
      <c r="M91" s="4"/>
      <c r="N91" s="4"/>
      <c r="O91" s="6"/>
      <c r="P91" s="6"/>
      <c r="Q91" s="6"/>
      <c r="R91" s="6"/>
      <c r="S91" s="6"/>
      <c r="T91" s="6"/>
      <c r="U91" s="6"/>
      <c r="V91" s="6"/>
      <c r="W91" s="6"/>
      <c r="X91" s="6"/>
      <c r="Y91" s="6"/>
      <c r="Z91" s="6"/>
      <c r="AA91" s="6"/>
    </row>
    <row r="92" spans="2:38" x14ac:dyDescent="0.25">
      <c r="B92" s="4"/>
      <c r="C92" s="4"/>
      <c r="D92" s="4"/>
      <c r="E92" s="4"/>
      <c r="F92" s="4"/>
      <c r="G92" s="4"/>
      <c r="H92" s="4"/>
      <c r="I92" s="4"/>
      <c r="J92" s="4"/>
      <c r="K92" s="4"/>
      <c r="L92" s="4"/>
      <c r="M92" s="4"/>
      <c r="N92" s="4"/>
      <c r="O92" s="6"/>
      <c r="P92" s="6"/>
      <c r="Q92" s="6"/>
      <c r="R92" s="6"/>
      <c r="S92" s="6"/>
      <c r="T92" s="7"/>
      <c r="U92" s="7"/>
      <c r="V92" s="7"/>
      <c r="W92" s="15"/>
      <c r="X92" s="7"/>
      <c r="Y92" s="7"/>
      <c r="Z92" s="7"/>
      <c r="AA92" s="6"/>
    </row>
    <row r="93" spans="2:38" x14ac:dyDescent="0.25">
      <c r="B93" s="4"/>
      <c r="C93" s="4"/>
      <c r="D93" s="4"/>
      <c r="E93" s="4"/>
      <c r="F93" s="4"/>
      <c r="G93" s="4"/>
      <c r="H93" s="4"/>
      <c r="I93" s="4"/>
      <c r="J93" s="4"/>
      <c r="K93" s="4"/>
      <c r="L93" s="4"/>
      <c r="M93" s="4"/>
      <c r="N93" s="4"/>
      <c r="O93" s="6"/>
      <c r="P93" s="6"/>
      <c r="Q93" s="6"/>
      <c r="R93" s="6"/>
      <c r="S93" s="6"/>
      <c r="T93" s="7"/>
      <c r="U93" s="7"/>
      <c r="V93" s="7"/>
      <c r="W93" s="15"/>
      <c r="X93" s="7"/>
      <c r="Y93" s="7"/>
      <c r="Z93" s="7"/>
      <c r="AA93" s="6"/>
    </row>
    <row r="94" spans="2:38" x14ac:dyDescent="0.25">
      <c r="B94" s="4"/>
      <c r="C94" s="4"/>
      <c r="D94" s="4"/>
      <c r="E94" s="4"/>
      <c r="F94" s="4"/>
      <c r="G94" s="4"/>
      <c r="H94" s="4"/>
      <c r="I94" s="4"/>
      <c r="J94" s="4"/>
      <c r="K94" s="4"/>
      <c r="L94" s="4"/>
      <c r="M94" s="4"/>
      <c r="N94" s="4"/>
      <c r="O94" s="6"/>
      <c r="P94" s="6"/>
      <c r="Q94" s="6"/>
      <c r="R94" s="6"/>
      <c r="S94" s="6"/>
      <c r="T94" s="7"/>
      <c r="U94" s="7"/>
      <c r="V94" s="6"/>
      <c r="W94" s="15"/>
      <c r="X94" s="7"/>
      <c r="Y94" s="7"/>
      <c r="Z94" s="7"/>
      <c r="AA94" s="6"/>
    </row>
    <row r="95" spans="2:38" x14ac:dyDescent="0.25">
      <c r="B95" s="4"/>
      <c r="C95" s="4"/>
      <c r="D95" s="4"/>
      <c r="E95" s="4"/>
      <c r="F95" s="4"/>
      <c r="G95" s="4"/>
      <c r="H95" s="4"/>
      <c r="I95" s="4"/>
      <c r="J95" s="4"/>
      <c r="K95" s="4"/>
      <c r="L95" s="4"/>
      <c r="M95" s="4"/>
      <c r="N95" s="4"/>
      <c r="O95" s="6"/>
      <c r="P95" s="6"/>
      <c r="Q95" s="6"/>
      <c r="R95" s="6"/>
      <c r="S95" s="6"/>
      <c r="T95" s="7"/>
      <c r="U95" s="7"/>
      <c r="V95" s="7"/>
      <c r="W95" s="15"/>
      <c r="X95" s="7"/>
      <c r="Y95" s="7"/>
      <c r="Z95" s="7"/>
      <c r="AA95" s="6"/>
    </row>
    <row r="96" spans="2:38" x14ac:dyDescent="0.25">
      <c r="B96" s="4"/>
      <c r="C96" s="4"/>
      <c r="D96" s="4"/>
      <c r="E96" s="4"/>
      <c r="F96" s="4"/>
      <c r="G96" s="4"/>
      <c r="H96" s="4"/>
      <c r="I96" s="4"/>
      <c r="J96" s="4"/>
      <c r="K96" s="4"/>
      <c r="L96" s="4"/>
      <c r="M96" s="4"/>
      <c r="N96" s="4"/>
      <c r="O96" s="4"/>
      <c r="P96" s="4"/>
      <c r="Q96" s="4"/>
      <c r="R96" s="4"/>
      <c r="S96" s="4"/>
      <c r="T96" s="4"/>
      <c r="U96" s="4"/>
      <c r="V96" s="4"/>
      <c r="W96" s="4"/>
      <c r="X96" s="4"/>
      <c r="Y96" s="4"/>
      <c r="Z96" s="4"/>
    </row>
    <row r="97" spans="2:27" x14ac:dyDescent="0.25">
      <c r="B97" s="4"/>
      <c r="C97" s="4"/>
      <c r="D97" s="4"/>
      <c r="E97" s="4"/>
      <c r="F97" s="4"/>
      <c r="G97" s="4"/>
      <c r="H97" s="4"/>
      <c r="I97" s="4"/>
      <c r="J97" s="4"/>
      <c r="K97" s="4"/>
      <c r="L97" s="4"/>
      <c r="M97" s="4"/>
      <c r="N97" s="4"/>
      <c r="O97" s="6"/>
      <c r="P97" s="6"/>
      <c r="Q97" s="6"/>
      <c r="R97" s="6"/>
      <c r="S97" s="6"/>
      <c r="T97" s="7"/>
      <c r="U97" s="7"/>
      <c r="V97" s="7"/>
      <c r="W97" s="15"/>
      <c r="X97" s="7"/>
      <c r="Y97" s="7"/>
      <c r="Z97" s="7"/>
      <c r="AA97" s="6"/>
    </row>
    <row r="98" spans="2:27" x14ac:dyDescent="0.25">
      <c r="B98" s="4"/>
      <c r="C98" s="4"/>
      <c r="D98" s="4"/>
      <c r="E98" s="4"/>
      <c r="F98" s="4"/>
      <c r="G98" s="4"/>
      <c r="H98" s="4"/>
      <c r="I98" s="4"/>
      <c r="J98" s="4"/>
      <c r="K98" s="4"/>
      <c r="L98" s="4"/>
      <c r="M98" s="4"/>
      <c r="N98" s="4"/>
      <c r="O98" s="4"/>
      <c r="P98" s="4"/>
      <c r="Q98" s="4"/>
      <c r="R98" s="4"/>
      <c r="S98" s="4"/>
      <c r="T98" s="4"/>
      <c r="U98" s="4"/>
      <c r="V98" s="4"/>
      <c r="W98" s="4"/>
      <c r="X98" s="4"/>
      <c r="Y98" s="4"/>
      <c r="Z98" s="4"/>
    </row>
    <row r="99" spans="2:27" x14ac:dyDescent="0.25">
      <c r="B99" s="4"/>
      <c r="C99" s="4"/>
      <c r="D99" s="4"/>
      <c r="E99" s="4"/>
      <c r="F99" s="4"/>
      <c r="G99" s="4"/>
      <c r="H99" s="4"/>
      <c r="I99" s="4"/>
      <c r="J99" s="4"/>
      <c r="K99" s="4"/>
      <c r="L99" s="4"/>
      <c r="M99" s="4"/>
      <c r="N99" s="4"/>
      <c r="O99" s="4"/>
      <c r="P99" s="4"/>
      <c r="Q99" s="4"/>
      <c r="R99" s="4"/>
      <c r="S99" s="4"/>
      <c r="T99" s="4"/>
      <c r="U99" s="4"/>
      <c r="V99" s="4"/>
      <c r="W99" s="4"/>
      <c r="X99" s="4"/>
      <c r="Y99" s="4"/>
      <c r="Z99" s="4"/>
    </row>
    <row r="100" spans="2:27" x14ac:dyDescent="0.25">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2:27" x14ac:dyDescent="0.25">
      <c r="O101" s="4"/>
    </row>
  </sheetData>
  <sheetProtection algorithmName="SHA-512" hashValue="jRd2AJt2lXJCiHxV/ipGt995NEb2vO7dJGQp4njGHQjrPl0FEgtLLJ6GlbJTc4V2b+tI+mcI/MllRKUIWOIuYw==" saltValue="g9ZTYRCvSOJhsw0bIhfYJA==" spinCount="100000" sheet="1" selectLockedCells="1"/>
  <mergeCells count="21">
    <mergeCell ref="V1:W1"/>
    <mergeCell ref="S1:T1"/>
    <mergeCell ref="AE1:AF1"/>
    <mergeCell ref="I49:J49"/>
    <mergeCell ref="H56:J56"/>
    <mergeCell ref="G35:J35"/>
    <mergeCell ref="G36:J36"/>
    <mergeCell ref="G37:J37"/>
    <mergeCell ref="B25:D25"/>
    <mergeCell ref="B27:D27"/>
    <mergeCell ref="B29:D29"/>
    <mergeCell ref="B31:D31"/>
    <mergeCell ref="H58:J58"/>
    <mergeCell ref="B39:D39"/>
    <mergeCell ref="B37:D37"/>
    <mergeCell ref="B35:D35"/>
    <mergeCell ref="B33:D33"/>
    <mergeCell ref="H30:J30"/>
    <mergeCell ref="H31:J31"/>
    <mergeCell ref="H32:J32"/>
    <mergeCell ref="H33:J33"/>
  </mergeCells>
  <phoneticPr fontId="0" type="noConversion"/>
  <hyperlinks>
    <hyperlink ref="A68" r:id="rId1" display="https://intranet.ku.dk/sund/uddannelse/undervisning/normkatalog/Documents/Undervisnings-eksamens-vejledningsnormer%20samlet%20sept2013-jan2014.pdf " xr:uid="{00000000-0004-0000-0100-000000000000}"/>
  </hyperlinks>
  <pageMargins left="0.70866141732283472" right="0.70866141732283472" top="0.74803149606299213" bottom="0.74803149606299213" header="0.31496062992125984" footer="0.31496062992125984"/>
  <pageSetup paperSize="9" scale="70" orientation="portrait" r:id="rId2"/>
  <headerFooter alignWithMargins="0">
    <oddHeader>&amp;L&amp;A&amp;C&amp;F&amp;R&amp;D; &amp;T</oddHeader>
  </headerFooter>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79998168889431442"/>
    <pageSetUpPr fitToPage="1"/>
  </sheetPr>
  <dimension ref="A1:AL101"/>
  <sheetViews>
    <sheetView zoomScaleNormal="100" workbookViewId="0">
      <pane ySplit="1" topLeftCell="A2" activePane="bottomLeft" state="frozen"/>
      <selection pane="bottomLeft" activeCell="A3" sqref="A3"/>
    </sheetView>
  </sheetViews>
  <sheetFormatPr defaultColWidth="9.33203125" defaultRowHeight="15" x14ac:dyDescent="0.25"/>
  <cols>
    <col min="1" max="1" width="5.83203125" style="1" customWidth="1"/>
    <col min="2" max="2" width="32.83203125" style="1" customWidth="1"/>
    <col min="3" max="4" width="7" style="1" customWidth="1"/>
    <col min="5" max="5" width="7.33203125" style="1" customWidth="1"/>
    <col min="6" max="6" width="0.6640625" style="1" customWidth="1"/>
    <col min="7" max="7" width="6" style="1" customWidth="1"/>
    <col min="8" max="8" width="35.6640625" style="1" customWidth="1"/>
    <col min="9" max="9" width="10.1640625" style="1" customWidth="1"/>
    <col min="10" max="10" width="8.6640625" style="1" customWidth="1"/>
    <col min="11" max="11" width="9" style="1" customWidth="1"/>
    <col min="12" max="12" width="8.33203125" style="1" customWidth="1"/>
    <col min="13" max="13" width="1.1640625" style="1" customWidth="1"/>
    <col min="14" max="14" width="4" style="1" customWidth="1"/>
    <col min="15" max="15" width="45.5" style="1" customWidth="1"/>
    <col min="16" max="16" width="8.83203125" style="1" customWidth="1"/>
    <col min="17" max="17" width="6.5" style="1" customWidth="1"/>
    <col min="18" max="18" width="6" style="1" customWidth="1"/>
    <col min="19" max="19" width="8.6640625" style="1" customWidth="1"/>
    <col min="20" max="20" width="6.33203125" style="1" customWidth="1"/>
    <col min="21" max="23" width="6.6640625" style="1" customWidth="1"/>
    <col min="24" max="24" width="7.5" style="1" customWidth="1"/>
    <col min="25" max="26" width="6.83203125" style="1" customWidth="1"/>
    <col min="27" max="27" width="9.33203125" style="1"/>
    <col min="28" max="28" width="13.5" style="25" customWidth="1"/>
    <col min="29" max="29" width="14" style="1" customWidth="1"/>
    <col min="30" max="30" width="9.83203125" style="1" customWidth="1"/>
    <col min="31" max="16384" width="9.33203125" style="1"/>
  </cols>
  <sheetData>
    <row r="1" spans="1:38" x14ac:dyDescent="0.25">
      <c r="A1" s="14"/>
      <c r="B1" s="14"/>
      <c r="C1" s="14" t="str">
        <f>'2-Medicine'!C1</f>
        <v>Factor</v>
      </c>
      <c r="D1" s="14"/>
      <c r="E1" s="22" t="str">
        <f>'2-Medicine'!E1</f>
        <v>UR-h</v>
      </c>
      <c r="F1" s="6">
        <f>'2-Medicine'!F1</f>
        <v>0</v>
      </c>
      <c r="G1" s="6"/>
      <c r="H1" s="102"/>
      <c r="I1" s="14" t="str">
        <f>'2-Medicine'!I1</f>
        <v>% of set</v>
      </c>
      <c r="J1" s="14" t="str">
        <f>'2-Medicine'!J1</f>
        <v>h/exam</v>
      </c>
      <c r="K1" s="14" t="str">
        <f>'2-Medicine'!K1</f>
        <v>UR/unit</v>
      </c>
      <c r="L1" s="22" t="str">
        <f>'2-Medicine'!L1</f>
        <v>UR-h</v>
      </c>
      <c r="M1" s="7">
        <f>'2-Medicine'!M1</f>
        <v>0</v>
      </c>
      <c r="O1" s="139" t="str">
        <f>'2-Medicine'!O1</f>
        <v>ACTIVITY TABLE</v>
      </c>
      <c r="P1" s="139" t="str">
        <f>'2-Medicine'!P1</f>
        <v>Study</v>
      </c>
      <c r="Q1" s="139" t="str">
        <f>'2-Medicine'!Q1</f>
        <v>Level</v>
      </c>
      <c r="R1" s="139" t="str">
        <f>'2-Medicine'!R1</f>
        <v>Sem</v>
      </c>
      <c r="S1" s="175" t="str">
        <f>'2-Medicine'!S1</f>
        <v>Exam</v>
      </c>
      <c r="T1" s="176"/>
      <c r="U1" s="137" t="str">
        <f>'2-Medicine'!U1</f>
        <v>Prep</v>
      </c>
      <c r="V1" s="175" t="str">
        <f>'2-Medicine'!V1</f>
        <v>Assessment</v>
      </c>
      <c r="W1" s="176"/>
      <c r="X1" s="137" t="str">
        <f>'2-Medicine'!X1</f>
        <v>eECTS</v>
      </c>
      <c r="Y1" s="137" t="str">
        <f>'2-Medicine'!Y1</f>
        <v>kECTS</v>
      </c>
      <c r="Z1" s="138" t="str">
        <f>'2-Medicine'!Z1</f>
        <v>∑ECTS</v>
      </c>
      <c r="AA1" s="139" t="str">
        <f>'2-Medicine'!AA1</f>
        <v>Dept</v>
      </c>
      <c r="AB1" s="139" t="str">
        <f>'2-Medicine'!AB1</f>
        <v>Exam #</v>
      </c>
      <c r="AC1" s="139" t="str">
        <f>'2-Medicine'!AC1</f>
        <v>Course #</v>
      </c>
      <c r="AE1" s="175" t="str">
        <f>'2-Medicine'!AE1</f>
        <v>VEJLEDNING</v>
      </c>
      <c r="AF1" s="176"/>
      <c r="AL1" s="6"/>
    </row>
    <row r="2" spans="1:38" ht="15.75" thickBot="1" x14ac:dyDescent="0.3">
      <c r="A2" s="58"/>
      <c r="B2" s="58" t="s">
        <v>66</v>
      </c>
      <c r="C2" s="56"/>
      <c r="D2" s="56"/>
      <c r="E2" s="56"/>
      <c r="F2" s="56"/>
      <c r="G2" s="56"/>
      <c r="H2" s="67" t="s">
        <v>67</v>
      </c>
      <c r="I2" s="56"/>
      <c r="J2" s="56"/>
      <c r="K2" s="56"/>
      <c r="L2" s="56"/>
      <c r="M2" s="56"/>
      <c r="N2" s="8">
        <v>1</v>
      </c>
      <c r="O2" s="6" t="s">
        <v>22</v>
      </c>
      <c r="P2" s="86" t="s">
        <v>15</v>
      </c>
      <c r="Q2" s="85" t="s">
        <v>6</v>
      </c>
      <c r="R2" s="6">
        <v>1.1000000000000001</v>
      </c>
      <c r="S2" s="6" t="s">
        <v>73</v>
      </c>
      <c r="T2" s="7">
        <v>0</v>
      </c>
      <c r="U2" s="7">
        <v>0</v>
      </c>
      <c r="V2" s="7">
        <v>0</v>
      </c>
      <c r="W2" s="15">
        <f>V2/60</f>
        <v>0</v>
      </c>
      <c r="X2" s="7">
        <v>0</v>
      </c>
      <c r="Y2" s="7">
        <v>2.5</v>
      </c>
      <c r="Z2" s="7">
        <f>SUM(X2:Y2)</f>
        <v>2.5</v>
      </c>
      <c r="AA2" s="6" t="s">
        <v>12</v>
      </c>
      <c r="AB2" s="24"/>
      <c r="AE2" s="157">
        <f>'2-Medicine'!AE2</f>
        <v>1</v>
      </c>
      <c r="AF2" s="158">
        <f>'2-Medicine'!AF2</f>
        <v>1</v>
      </c>
      <c r="AL2" s="6"/>
    </row>
    <row r="3" spans="1:38" ht="15.75" thickBot="1" x14ac:dyDescent="0.3">
      <c r="A3" s="76"/>
      <c r="B3" s="54" t="str">
        <f>IF(A3="","← Choose # in ACTIVITY TABLE",VLOOKUP(A3,AKTIVITET,2,FALSE))</f>
        <v>← Choose # in ACTIVITY TABLE</v>
      </c>
      <c r="C3" s="55"/>
      <c r="D3" s="55"/>
      <c r="E3" s="56"/>
      <c r="F3" s="56"/>
      <c r="G3" s="76"/>
      <c r="H3" s="54" t="str">
        <f>IF(G3="","← Choose # in ACTIVITY TABLE",VLOOKUP(G3,AKTIVITET,2,FALSE))</f>
        <v>← Choose # in ACTIVITY TABLE</v>
      </c>
      <c r="I3" s="60" t="str">
        <f>IF(I4&gt;100,"↓max 100%","")</f>
        <v/>
      </c>
      <c r="J3" s="54"/>
      <c r="K3" s="57"/>
      <c r="L3" s="61"/>
      <c r="M3" s="56"/>
      <c r="N3" s="8">
        <v>2</v>
      </c>
      <c r="O3" s="6" t="s">
        <v>91</v>
      </c>
      <c r="P3" s="84" t="s">
        <v>15</v>
      </c>
      <c r="Q3" s="84" t="s">
        <v>6</v>
      </c>
      <c r="R3" s="6">
        <v>1.2</v>
      </c>
      <c r="S3" s="6" t="s">
        <v>328</v>
      </c>
      <c r="T3" s="7">
        <v>4</v>
      </c>
      <c r="U3" s="7">
        <f>130+100</f>
        <v>230</v>
      </c>
      <c r="V3" s="7">
        <v>30</v>
      </c>
      <c r="W3" s="15">
        <f>V3/60</f>
        <v>0.5</v>
      </c>
      <c r="X3" s="7">
        <v>20</v>
      </c>
      <c r="Y3" s="7">
        <v>0</v>
      </c>
      <c r="Z3" s="7">
        <f>SUM(X3:Y3)</f>
        <v>20</v>
      </c>
      <c r="AA3" s="140" t="s">
        <v>90</v>
      </c>
      <c r="AB3" s="24"/>
      <c r="AC3" s="1" t="s">
        <v>386</v>
      </c>
      <c r="AE3" s="2">
        <f>'2-Medicine'!AE3</f>
        <v>2</v>
      </c>
      <c r="AF3" s="3">
        <f>'2-Medicine'!AF3</f>
        <v>1.1499999999999999</v>
      </c>
      <c r="AL3" s="6"/>
    </row>
    <row r="4" spans="1:38" ht="15.75" thickBot="1" x14ac:dyDescent="0.3">
      <c r="A4" s="75"/>
      <c r="B4" s="54" t="str">
        <f>IF(A3="","",IF(OR(A3=2,A3=3,A3=29),"Note lectures in 2-Medicine","Lectures"))</f>
        <v/>
      </c>
      <c r="C4" s="57" t="str">
        <f>IF($A$3="","",6)</f>
        <v/>
      </c>
      <c r="D4" s="57"/>
      <c r="E4" s="56" t="str">
        <f>IF($A$3="","",A4*C4)</f>
        <v/>
      </c>
      <c r="F4" s="56"/>
      <c r="G4" s="79"/>
      <c r="H4" s="62" t="str">
        <f>IF(G3="","",CONCATENATE("= # of stud. ",VLOOKUP(G3,AKTIVITET,6,FALSE),IF(VLOOKUP(G3,AKTIVITET,4,FALSE)="Oral",""," Your share% =")))</f>
        <v/>
      </c>
      <c r="I4" s="51">
        <v>100</v>
      </c>
      <c r="J4" s="56" t="str">
        <f>IF(G3="","",VLOOKUP(G3,AKTIVITET,7,FALSE))</f>
        <v/>
      </c>
      <c r="K4" s="56" t="str">
        <f>IF(G3="","",VLOOKUP(G3,AKTIVITET,10,FALSE))</f>
        <v/>
      </c>
      <c r="L4" s="56" t="str">
        <f>IF(G3="","",IF(H3="OSCE",8,G4*I4/100*K4))</f>
        <v/>
      </c>
      <c r="M4" s="56"/>
      <c r="N4" s="8">
        <v>3</v>
      </c>
      <c r="O4" s="141" t="s">
        <v>49</v>
      </c>
      <c r="P4" s="86" t="s">
        <v>15</v>
      </c>
      <c r="Q4" s="85" t="s">
        <v>6</v>
      </c>
      <c r="R4" s="141">
        <v>2.1</v>
      </c>
      <c r="S4" s="141" t="s">
        <v>328</v>
      </c>
      <c r="T4" s="145">
        <v>0</v>
      </c>
      <c r="U4" s="145">
        <f>130*12.5/15</f>
        <v>108.33333333333333</v>
      </c>
      <c r="V4" s="145">
        <v>25</v>
      </c>
      <c r="W4" s="144">
        <f t="shared" ref="W4:W9" si="0">V4/60</f>
        <v>0.41666666666666669</v>
      </c>
      <c r="X4" s="145">
        <v>12.5</v>
      </c>
      <c r="Y4" s="145">
        <v>2.5</v>
      </c>
      <c r="Z4" s="145">
        <f t="shared" ref="Z4:Z9" si="1">SUM(X4:Y4)</f>
        <v>15</v>
      </c>
      <c r="AA4" s="141" t="s">
        <v>2</v>
      </c>
      <c r="AB4" s="24"/>
      <c r="AC4" s="1" t="s">
        <v>360</v>
      </c>
      <c r="AE4" s="2">
        <f>'2-Medicine'!AE4</f>
        <v>3</v>
      </c>
      <c r="AF4" s="3">
        <f>'2-Medicine'!AF4</f>
        <v>1.3</v>
      </c>
      <c r="AL4" s="6"/>
    </row>
    <row r="5" spans="1:38" ht="15.75" thickBot="1" x14ac:dyDescent="0.3">
      <c r="A5" s="53"/>
      <c r="B5" s="54" t="str">
        <f>IF(A3="","","SAU24 class room teaching")</f>
        <v/>
      </c>
      <c r="C5" s="57" t="str">
        <f>IF($A$3="","",3.5)</f>
        <v/>
      </c>
      <c r="D5" s="57"/>
      <c r="E5" s="56" t="str">
        <f>IF($A$3="","",A5*C5)</f>
        <v/>
      </c>
      <c r="F5" s="56"/>
      <c r="G5" s="78"/>
      <c r="H5" s="54" t="str">
        <f>IF(G5="","← Choose # in ACTIVITY TABLE",VLOOKUP(G5,AKTIVITET,2,FALSE))</f>
        <v>← Choose # in ACTIVITY TABLE</v>
      </c>
      <c r="I5" s="60" t="str">
        <f>IF(I6&gt;100,"↓max 100%","")</f>
        <v/>
      </c>
      <c r="J5" s="54"/>
      <c r="K5" s="54"/>
      <c r="L5" s="56"/>
      <c r="M5" s="56"/>
      <c r="N5" s="8">
        <v>4</v>
      </c>
      <c r="O5" s="141" t="s">
        <v>50</v>
      </c>
      <c r="P5" s="86" t="s">
        <v>15</v>
      </c>
      <c r="Q5" s="85" t="s">
        <v>6</v>
      </c>
      <c r="R5" s="141">
        <v>2.2000000000000002</v>
      </c>
      <c r="S5" s="141" t="s">
        <v>84</v>
      </c>
      <c r="T5" s="145">
        <f>30/60</f>
        <v>0.5</v>
      </c>
      <c r="U5" s="145">
        <v>50</v>
      </c>
      <c r="V5" s="145">
        <v>30</v>
      </c>
      <c r="W5" s="144">
        <f t="shared" si="0"/>
        <v>0.5</v>
      </c>
      <c r="X5" s="145">
        <v>0</v>
      </c>
      <c r="Y5" s="145">
        <v>0</v>
      </c>
      <c r="Z5" s="145">
        <f t="shared" si="1"/>
        <v>0</v>
      </c>
      <c r="AA5" s="141" t="s">
        <v>2</v>
      </c>
      <c r="AB5" s="24"/>
      <c r="AE5" s="2">
        <f>'2-Medicine'!AE5</f>
        <v>4</v>
      </c>
      <c r="AF5" s="3">
        <f>'2-Medicine'!AF5</f>
        <v>1.3</v>
      </c>
      <c r="AL5" s="6"/>
    </row>
    <row r="6" spans="1:38" ht="15.75" thickBot="1" x14ac:dyDescent="0.3">
      <c r="A6" s="53"/>
      <c r="B6" s="54" t="str">
        <f>IF(A3="","","SAU12 students exercises")</f>
        <v/>
      </c>
      <c r="C6" s="57" t="str">
        <f>IF($A$3="","",2.5)</f>
        <v/>
      </c>
      <c r="D6" s="57"/>
      <c r="E6" s="56" t="str">
        <f>IF($A$3="","",A6*C6)</f>
        <v/>
      </c>
      <c r="F6" s="56"/>
      <c r="G6" s="79"/>
      <c r="H6" s="62" t="str">
        <f>IF(G5="","",CONCATENATE("= # of stud. ",VLOOKUP(G5,AKTIVITET,6,FALSE),IF(VLOOKUP(G5,AKTIVITET,4,FALSE)="Oral",""," Your share% =")))</f>
        <v/>
      </c>
      <c r="I6" s="51">
        <v>100</v>
      </c>
      <c r="J6" s="56" t="str">
        <f>IF(G5="","",VLOOKUP(G5,AKTIVITET,7,FALSE))</f>
        <v/>
      </c>
      <c r="K6" s="56" t="str">
        <f>IF(G5="","",VLOOKUP(G5,AKTIVITET,10,FALSE))</f>
        <v/>
      </c>
      <c r="L6" s="56" t="str">
        <f>IF(G5="","",IF(H5="OSCE",8,G6*I6/100*K6))</f>
        <v/>
      </c>
      <c r="M6" s="56"/>
      <c r="N6" s="8">
        <v>5</v>
      </c>
      <c r="O6" s="141" t="s">
        <v>51</v>
      </c>
      <c r="P6" s="86" t="s">
        <v>15</v>
      </c>
      <c r="Q6" s="85" t="s">
        <v>6</v>
      </c>
      <c r="R6" s="141">
        <v>2.2999999999999998</v>
      </c>
      <c r="S6" s="141" t="s">
        <v>328</v>
      </c>
      <c r="T6" s="145">
        <v>0</v>
      </c>
      <c r="U6" s="145">
        <f>130*2.5/15</f>
        <v>21.666666666666668</v>
      </c>
      <c r="V6" s="145">
        <v>15</v>
      </c>
      <c r="W6" s="144">
        <f t="shared" si="0"/>
        <v>0.25</v>
      </c>
      <c r="X6" s="145">
        <v>0</v>
      </c>
      <c r="Y6" s="145">
        <v>2.5</v>
      </c>
      <c r="Z6" s="145">
        <f t="shared" si="1"/>
        <v>2.5</v>
      </c>
      <c r="AA6" s="141" t="s">
        <v>227</v>
      </c>
      <c r="AB6" s="24"/>
      <c r="AC6" s="1" t="s">
        <v>483</v>
      </c>
      <c r="AE6" s="2">
        <f>'2-Medicine'!AE6</f>
        <v>5</v>
      </c>
      <c r="AF6" s="3">
        <f>'2-Medicine'!AF6</f>
        <v>1.3</v>
      </c>
      <c r="AL6" s="6"/>
    </row>
    <row r="7" spans="1:38" ht="15.75" thickBot="1" x14ac:dyDescent="0.3">
      <c r="A7" s="77"/>
      <c r="B7" s="54" t="str">
        <f>IF(A3="","","Presence")</f>
        <v/>
      </c>
      <c r="C7" s="57" t="str">
        <f>IF($A$3="","",1)</f>
        <v/>
      </c>
      <c r="D7" s="57"/>
      <c r="E7" s="56" t="str">
        <f>IF($A$3="","",A7*C7)</f>
        <v/>
      </c>
      <c r="F7" s="56"/>
      <c r="G7" s="78"/>
      <c r="H7" s="54" t="str">
        <f>IF(G7="","← Choose # in ACTIVITY TABLE",VLOOKUP(G7,AKTIVITET,2,FALSE))</f>
        <v>← Choose # in ACTIVITY TABLE</v>
      </c>
      <c r="I7" s="60" t="str">
        <f>IF(I8&gt;100,"↓max 100%","")</f>
        <v/>
      </c>
      <c r="J7" s="54"/>
      <c r="K7" s="54"/>
      <c r="L7" s="56"/>
      <c r="M7" s="56"/>
      <c r="N7" s="8">
        <v>6</v>
      </c>
      <c r="O7" s="142" t="s">
        <v>52</v>
      </c>
      <c r="P7" s="86" t="s">
        <v>15</v>
      </c>
      <c r="Q7" s="85" t="s">
        <v>6</v>
      </c>
      <c r="R7" s="36">
        <v>2.4</v>
      </c>
      <c r="S7" s="36" t="s">
        <v>84</v>
      </c>
      <c r="T7" s="38">
        <v>5</v>
      </c>
      <c r="U7" s="38">
        <f>130+50</f>
        <v>180</v>
      </c>
      <c r="V7" s="38">
        <v>75</v>
      </c>
      <c r="W7" s="39">
        <f t="shared" si="0"/>
        <v>1.25</v>
      </c>
      <c r="X7" s="38">
        <v>15</v>
      </c>
      <c r="Y7" s="38">
        <v>0</v>
      </c>
      <c r="Z7" s="38">
        <f t="shared" si="1"/>
        <v>15</v>
      </c>
      <c r="AA7" s="162" t="s">
        <v>499</v>
      </c>
      <c r="AB7" s="1" t="s">
        <v>352</v>
      </c>
      <c r="AC7" s="1" t="s">
        <v>352</v>
      </c>
      <c r="AE7" s="23">
        <f>'2-Medicine'!AE7</f>
        <v>6</v>
      </c>
      <c r="AF7" s="159">
        <f>'2-Medicine'!AF7</f>
        <v>1.3</v>
      </c>
      <c r="AL7" s="6"/>
    </row>
    <row r="8" spans="1:38" ht="15.75" thickBot="1" x14ac:dyDescent="0.3">
      <c r="A8" s="76"/>
      <c r="B8" s="54" t="str">
        <f>IF(A8="","← Choose # in ACTIVITY TABLE",VLOOKUP(A8,AKTIVITET,2,FALSE))</f>
        <v>← Choose # in ACTIVITY TABLE</v>
      </c>
      <c r="C8" s="54"/>
      <c r="D8" s="54"/>
      <c r="E8" s="54"/>
      <c r="F8" s="56"/>
      <c r="G8" s="80"/>
      <c r="H8" s="62" t="str">
        <f>IF(G7="","",CONCATENATE("= # of stud. ",VLOOKUP(G7,AKTIVITET,6,FALSE),IF(VLOOKUP(G7,AKTIVITET,4,FALSE)="Oral",""," Your share% =")))</f>
        <v/>
      </c>
      <c r="I8" s="51">
        <v>100</v>
      </c>
      <c r="J8" s="56" t="str">
        <f>IF(G7="","",VLOOKUP(G7,AKTIVITET,7,FALSE))</f>
        <v/>
      </c>
      <c r="K8" s="56" t="str">
        <f>IF(G7="","",VLOOKUP(G7,AKTIVITET,10,FALSE))</f>
        <v/>
      </c>
      <c r="L8" s="56" t="str">
        <f>IF(G7="","",IF(H7="OSCE",8,G8*I8/100*K8))</f>
        <v/>
      </c>
      <c r="M8" s="56"/>
      <c r="N8" s="8">
        <v>7</v>
      </c>
      <c r="O8" s="6" t="s">
        <v>23</v>
      </c>
      <c r="P8" s="86" t="s">
        <v>15</v>
      </c>
      <c r="Q8" s="85" t="s">
        <v>6</v>
      </c>
      <c r="R8" s="6">
        <v>2.5</v>
      </c>
      <c r="S8" s="6" t="s">
        <v>84</v>
      </c>
      <c r="T8" s="7">
        <v>2</v>
      </c>
      <c r="U8" s="7">
        <v>70</v>
      </c>
      <c r="V8" s="7">
        <v>30</v>
      </c>
      <c r="W8" s="15">
        <f t="shared" si="0"/>
        <v>0.5</v>
      </c>
      <c r="X8" s="7">
        <v>5</v>
      </c>
      <c r="Y8" s="7">
        <v>0</v>
      </c>
      <c r="Z8" s="7">
        <f t="shared" si="1"/>
        <v>5</v>
      </c>
      <c r="AA8" s="6" t="s">
        <v>2</v>
      </c>
      <c r="AB8" s="24"/>
      <c r="AC8" s="1" t="s">
        <v>363</v>
      </c>
      <c r="AD8" s="6"/>
      <c r="AE8" s="6"/>
      <c r="AL8" s="6"/>
    </row>
    <row r="9" spans="1:38" ht="15.75" thickBot="1" x14ac:dyDescent="0.3">
      <c r="A9" s="75"/>
      <c r="B9" s="54" t="str">
        <f>IF(A8="","",IF(OR(A8=2,A8=3,A8=29),"Note lectures in 2-Medicine","Lectures"))</f>
        <v/>
      </c>
      <c r="C9" s="57" t="str">
        <f>IF($A$8="","",6)</f>
        <v/>
      </c>
      <c r="D9" s="57"/>
      <c r="E9" s="56" t="str">
        <f>IF($A$8="","",A9*C9)</f>
        <v/>
      </c>
      <c r="F9" s="56"/>
      <c r="G9" s="78"/>
      <c r="H9" s="54" t="str">
        <f>IF(G9="","← Choose # in ACTIVITY TABLE",VLOOKUP(G9,AKTIVITET,2,FALSE))</f>
        <v>← Choose # in ACTIVITY TABLE</v>
      </c>
      <c r="I9" s="60" t="str">
        <f>IF(I10&gt;100,"↓max 100%","")</f>
        <v/>
      </c>
      <c r="J9" s="54"/>
      <c r="K9" s="54"/>
      <c r="L9" s="56"/>
      <c r="M9" s="56"/>
      <c r="N9" s="8">
        <v>8</v>
      </c>
      <c r="O9" s="6" t="s">
        <v>24</v>
      </c>
      <c r="P9" s="86" t="s">
        <v>15</v>
      </c>
      <c r="Q9" s="85" t="s">
        <v>6</v>
      </c>
      <c r="R9" s="6">
        <v>3.1</v>
      </c>
      <c r="S9" s="6" t="s">
        <v>326</v>
      </c>
      <c r="T9" s="7">
        <v>0.5</v>
      </c>
      <c r="U9" s="7">
        <v>0.5</v>
      </c>
      <c r="V9" s="7">
        <v>40</v>
      </c>
      <c r="W9" s="15">
        <f t="shared" si="0"/>
        <v>0.66666666666666663</v>
      </c>
      <c r="X9" s="7">
        <v>12.5</v>
      </c>
      <c r="Y9" s="7">
        <v>0</v>
      </c>
      <c r="Z9" s="7">
        <f t="shared" si="1"/>
        <v>12.5</v>
      </c>
      <c r="AA9" s="6" t="s">
        <v>12</v>
      </c>
      <c r="AB9" s="1" t="s">
        <v>498</v>
      </c>
      <c r="AC9" s="1" t="s">
        <v>497</v>
      </c>
      <c r="AD9" s="6"/>
      <c r="AE9" s="6"/>
      <c r="AL9" s="6"/>
    </row>
    <row r="10" spans="1:38" ht="15.75" thickBot="1" x14ac:dyDescent="0.3">
      <c r="A10" s="53"/>
      <c r="B10" s="54" t="str">
        <f>IF(A8="","","SAU24 class room teaching")</f>
        <v/>
      </c>
      <c r="C10" s="57" t="str">
        <f>IF($A$8="","",3.5)</f>
        <v/>
      </c>
      <c r="D10" s="57"/>
      <c r="E10" s="56" t="str">
        <f>IF($A$8="","",A10*C10)</f>
        <v/>
      </c>
      <c r="F10" s="56"/>
      <c r="G10" s="79"/>
      <c r="H10" s="62" t="str">
        <f>IF(G9="","",CONCATENATE("= # of stud. ",VLOOKUP(G9,AKTIVITET,6,FALSE),IF(VLOOKUP(G9,AKTIVITET,4,FALSE)="Oral",""," Your share% =")))</f>
        <v/>
      </c>
      <c r="I10" s="51">
        <v>100</v>
      </c>
      <c r="J10" s="56" t="str">
        <f>IF(G9="","",VLOOKUP(G9,AKTIVITET,7,FALSE))</f>
        <v/>
      </c>
      <c r="K10" s="56" t="str">
        <f>IF(G9="","",VLOOKUP(G9,AKTIVITET,10,FALSE))</f>
        <v/>
      </c>
      <c r="L10" s="56" t="str">
        <f>IF(G9="","",IF(H9="OSCE",8,G10*I10/100*K10))</f>
        <v/>
      </c>
      <c r="M10" s="56"/>
      <c r="N10" s="8">
        <v>9</v>
      </c>
      <c r="O10" s="6" t="s">
        <v>25</v>
      </c>
      <c r="P10" s="86" t="s">
        <v>15</v>
      </c>
      <c r="Q10" s="85" t="s">
        <v>6</v>
      </c>
      <c r="R10" s="6">
        <v>4.2</v>
      </c>
      <c r="S10" s="6" t="s">
        <v>326</v>
      </c>
      <c r="T10" s="7">
        <f>30/60</f>
        <v>0.5</v>
      </c>
      <c r="U10" s="7">
        <v>0.5</v>
      </c>
      <c r="V10" s="7">
        <v>30</v>
      </c>
      <c r="W10" s="15">
        <f>V10/60</f>
        <v>0.5</v>
      </c>
      <c r="X10" s="7">
        <v>7.5</v>
      </c>
      <c r="Y10" s="7">
        <v>7.5</v>
      </c>
      <c r="Z10" s="7">
        <f>SUM(X10:Y10)</f>
        <v>15</v>
      </c>
      <c r="AA10" s="6" t="s">
        <v>3</v>
      </c>
      <c r="AB10" s="1" t="s">
        <v>393</v>
      </c>
      <c r="AC10" s="1" t="s">
        <v>392</v>
      </c>
      <c r="AD10" s="6"/>
      <c r="AE10" s="6"/>
      <c r="AL10" s="6"/>
    </row>
    <row r="11" spans="1:38" ht="15.75" thickBot="1" x14ac:dyDescent="0.3">
      <c r="A11" s="53"/>
      <c r="B11" s="54" t="str">
        <f>IF(A8="","","SAU12 students exercises")</f>
        <v/>
      </c>
      <c r="C11" s="57" t="str">
        <f>IF($A$8="","",2.5)</f>
        <v/>
      </c>
      <c r="D11" s="57"/>
      <c r="E11" s="56" t="str">
        <f>IF($A$8="","",A11*C11)</f>
        <v/>
      </c>
      <c r="F11" s="56"/>
      <c r="G11" s="78"/>
      <c r="H11" s="54" t="str">
        <f>IF(G11="","← Choose # in ACTIVITY TABLE",VLOOKUP(G11,AKTIVITET,2,FALSE))</f>
        <v>← Choose # in ACTIVITY TABLE</v>
      </c>
      <c r="I11" s="60" t="str">
        <f>IF(I12&gt;100,"↓max 100%","")</f>
        <v/>
      </c>
      <c r="J11" s="54"/>
      <c r="K11" s="54"/>
      <c r="L11" s="56"/>
      <c r="M11" s="56"/>
      <c r="N11" s="8">
        <v>10</v>
      </c>
      <c r="O11" s="6" t="s">
        <v>113</v>
      </c>
      <c r="P11" s="86" t="s">
        <v>15</v>
      </c>
      <c r="Q11" s="85" t="s">
        <v>6</v>
      </c>
      <c r="R11" s="6">
        <v>4.3</v>
      </c>
      <c r="S11" s="1" t="s">
        <v>84</v>
      </c>
      <c r="T11" s="7">
        <v>4</v>
      </c>
      <c r="U11" s="7">
        <v>100</v>
      </c>
      <c r="V11" s="7">
        <v>40</v>
      </c>
      <c r="W11" s="15">
        <f>V11/60</f>
        <v>0.66666666666666663</v>
      </c>
      <c r="X11" s="7">
        <v>5</v>
      </c>
      <c r="Y11" s="7">
        <v>0</v>
      </c>
      <c r="Z11" s="7">
        <f>SUM(X11:Y11)</f>
        <v>5</v>
      </c>
      <c r="AA11" s="6" t="s">
        <v>12</v>
      </c>
      <c r="AB11" s="1" t="s">
        <v>496</v>
      </c>
      <c r="AC11" s="1" t="s">
        <v>495</v>
      </c>
      <c r="AD11" s="6"/>
      <c r="AE11" s="6"/>
      <c r="AL11" s="6"/>
    </row>
    <row r="12" spans="1:38" ht="15.75" thickBot="1" x14ac:dyDescent="0.3">
      <c r="A12" s="77"/>
      <c r="B12" s="54" t="str">
        <f>IF(A8="","","Presence")</f>
        <v/>
      </c>
      <c r="C12" s="57" t="str">
        <f>IF($A$8="","",1)</f>
        <v/>
      </c>
      <c r="D12" s="57"/>
      <c r="E12" s="56" t="str">
        <f>IF($A$8="","",A12*C12)</f>
        <v/>
      </c>
      <c r="F12" s="56"/>
      <c r="G12" s="75"/>
      <c r="H12" s="62" t="str">
        <f>IF(G11="","",CONCATENATE("= # of stud. ",VLOOKUP(G11,AKTIVITET,6,FALSE),IF(VLOOKUP(G11,AKTIVITET,4,FALSE)="Oral",""," Your share% =")))</f>
        <v/>
      </c>
      <c r="I12" s="51">
        <v>100</v>
      </c>
      <c r="J12" s="56" t="str">
        <f>IF(G11="","",VLOOKUP(G11,AKTIVITET,7,FALSE))</f>
        <v/>
      </c>
      <c r="K12" s="56" t="str">
        <f>IF(G11="","",VLOOKUP(G11,AKTIVITET,10,FALSE))</f>
        <v/>
      </c>
      <c r="L12" s="56" t="str">
        <f>IF(G11="","",IF(H11="OSCE",8,G12*I12/100*K12))</f>
        <v/>
      </c>
      <c r="M12" s="56"/>
      <c r="N12" s="8">
        <v>11</v>
      </c>
      <c r="O12" s="6" t="s">
        <v>543</v>
      </c>
      <c r="P12" s="86" t="s">
        <v>15</v>
      </c>
      <c r="Q12" s="85" t="s">
        <v>6</v>
      </c>
      <c r="S12" s="1" t="s">
        <v>84</v>
      </c>
      <c r="T12" s="7">
        <v>4</v>
      </c>
      <c r="U12" s="7">
        <v>283</v>
      </c>
      <c r="V12" s="7">
        <v>40</v>
      </c>
      <c r="W12" s="15">
        <f>V12/60</f>
        <v>0.66666666666666663</v>
      </c>
      <c r="X12" s="7">
        <v>0</v>
      </c>
      <c r="Y12" s="7">
        <v>12.5</v>
      </c>
      <c r="Z12" s="7">
        <f>SUM(X12:Y12)</f>
        <v>12.5</v>
      </c>
      <c r="AA12" s="1" t="s">
        <v>3</v>
      </c>
      <c r="AB12" s="1" t="s">
        <v>440</v>
      </c>
      <c r="AC12" s="1" t="s">
        <v>439</v>
      </c>
      <c r="AD12" s="6"/>
      <c r="AE12" s="6"/>
      <c r="AL12" s="6"/>
    </row>
    <row r="13" spans="1:38" ht="15.75" thickBot="1" x14ac:dyDescent="0.3">
      <c r="A13" s="76"/>
      <c r="B13" s="54" t="str">
        <f>IF(A13="","← Choose # in ACTIVITY TABLE",VLOOKUP(A13,AKTIVITET,2,FALSE))</f>
        <v>← Choose # in ACTIVITY TABLE</v>
      </c>
      <c r="C13" s="54"/>
      <c r="D13" s="54"/>
      <c r="E13" s="56"/>
      <c r="F13" s="56"/>
      <c r="G13" s="54"/>
      <c r="H13" s="67" t="s">
        <v>75</v>
      </c>
      <c r="I13" s="54"/>
      <c r="J13" s="54"/>
      <c r="K13" s="54"/>
      <c r="L13" s="54"/>
      <c r="M13" s="56"/>
      <c r="N13" s="8">
        <v>12</v>
      </c>
      <c r="O13" s="6" t="s">
        <v>26</v>
      </c>
      <c r="P13" s="86" t="s">
        <v>15</v>
      </c>
      <c r="Q13" s="85" t="s">
        <v>6</v>
      </c>
      <c r="R13" s="6">
        <v>5.0999999999999996</v>
      </c>
      <c r="S13" s="6" t="s">
        <v>326</v>
      </c>
      <c r="T13" s="7">
        <f>45/60</f>
        <v>0.75</v>
      </c>
      <c r="U13" s="7">
        <v>0</v>
      </c>
      <c r="V13" s="7">
        <f>300+45</f>
        <v>345</v>
      </c>
      <c r="W13" s="15">
        <f t="shared" ref="W13:W14" si="2">V13/60</f>
        <v>5.75</v>
      </c>
      <c r="X13" s="7">
        <v>5</v>
      </c>
      <c r="Y13" s="7">
        <v>0</v>
      </c>
      <c r="Z13" s="7">
        <f t="shared" ref="Z13:Z14" si="3">SUM(X13:Y13)</f>
        <v>5</v>
      </c>
      <c r="AA13" s="6" t="s">
        <v>12</v>
      </c>
      <c r="AB13" s="1" t="s">
        <v>494</v>
      </c>
      <c r="AC13" s="1" t="s">
        <v>493</v>
      </c>
      <c r="AD13" s="6"/>
      <c r="AE13" s="6"/>
      <c r="AL13" s="6"/>
    </row>
    <row r="14" spans="1:38" ht="15.75" thickBot="1" x14ac:dyDescent="0.3">
      <c r="A14" s="75"/>
      <c r="B14" s="54" t="str">
        <f>IF(A13="","",IF(OR(A13=2,A13=3,A13=29),"Note lectures in 2-Medicine","Lectures"))</f>
        <v/>
      </c>
      <c r="C14" s="57" t="str">
        <f>IF($A$13="","",6)</f>
        <v/>
      </c>
      <c r="D14" s="57"/>
      <c r="E14" s="56" t="str">
        <f>IF($A$13="","",A14*C14)</f>
        <v/>
      </c>
      <c r="F14" s="56"/>
      <c r="G14" s="78"/>
      <c r="H14" s="54" t="str">
        <f>IF(G14="","← Choose # in ACTIVITY TABLE",VLOOKUP(G14,AKTIVITET,2,FALSE))</f>
        <v>← Choose # in ACTIVITY TABLE</v>
      </c>
      <c r="I14" s="60" t="str">
        <f>IF(I15&gt;100,"↓max 100%","")</f>
        <v/>
      </c>
      <c r="J14" s="64"/>
      <c r="K14" s="65"/>
      <c r="L14" s="56"/>
      <c r="M14" s="56"/>
      <c r="N14" s="8">
        <v>13</v>
      </c>
      <c r="O14" s="6" t="s">
        <v>27</v>
      </c>
      <c r="P14" s="86" t="s">
        <v>15</v>
      </c>
      <c r="Q14" s="85" t="s">
        <v>6</v>
      </c>
      <c r="R14" s="7">
        <v>6.1</v>
      </c>
      <c r="S14" s="1" t="s">
        <v>84</v>
      </c>
      <c r="T14" s="7">
        <v>4</v>
      </c>
      <c r="U14" s="7">
        <v>100</v>
      </c>
      <c r="V14" s="7">
        <v>20</v>
      </c>
      <c r="W14" s="15">
        <f t="shared" si="2"/>
        <v>0.33333333333333331</v>
      </c>
      <c r="X14" s="7">
        <v>0</v>
      </c>
      <c r="Y14" s="7">
        <v>7.5</v>
      </c>
      <c r="Z14" s="7">
        <f t="shared" si="3"/>
        <v>7.5</v>
      </c>
      <c r="AA14" s="6" t="s">
        <v>227</v>
      </c>
      <c r="AB14" s="1" t="s">
        <v>477</v>
      </c>
      <c r="AC14" s="1" t="s">
        <v>476</v>
      </c>
      <c r="AD14" s="6"/>
      <c r="AE14" s="6"/>
      <c r="AL14" s="6"/>
    </row>
    <row r="15" spans="1:38" ht="15.75" thickBot="1" x14ac:dyDescent="0.3">
      <c r="A15" s="53"/>
      <c r="B15" s="54" t="str">
        <f>IF(A13="","","SAU24 class room teaching")</f>
        <v/>
      </c>
      <c r="C15" s="57" t="str">
        <f>IF($A$13="","",3.5)</f>
        <v/>
      </c>
      <c r="D15" s="57"/>
      <c r="E15" s="56" t="str">
        <f>IF($A$13="","",A15*C15)</f>
        <v/>
      </c>
      <c r="F15" s="56"/>
      <c r="G15" s="79"/>
      <c r="H15" s="66" t="str">
        <f>IF(G14="","",IF(LEFT(H14,4)="Spot","Fixed # of H",IF(VLOOKUP(G14,AKTIVITET,6,FALSE)="Oral",(CONCATENATE("= # of stud. ",(VLOOKUP(G14,AKTIVITET,6,FALSE))," your share% =")),CONCATENATE(VLOOKUP(G14,AKTIVITET,6,FALSE)," your share% ="))))</f>
        <v/>
      </c>
      <c r="I15" s="51">
        <v>100</v>
      </c>
      <c r="J15" s="56" t="str">
        <f>IF(G14="","",VLOOKUP(G14,AKTIVITET,8,FALSE))</f>
        <v/>
      </c>
      <c r="K15" s="54"/>
      <c r="L15" s="56" t="str">
        <f>IF(G14="","",IF(H14="OSCE",J15,IF(VLOOKUP(G14,AKTIVITET,6,FALSE)="Oral",G15*(J15*I15/100),J15*I15/100)))</f>
        <v/>
      </c>
      <c r="M15" s="56"/>
      <c r="N15" s="8">
        <v>14</v>
      </c>
      <c r="O15" s="141" t="s">
        <v>28</v>
      </c>
      <c r="P15" s="43" t="s">
        <v>331</v>
      </c>
      <c r="Q15" s="41" t="s">
        <v>7</v>
      </c>
      <c r="R15" s="145">
        <v>1.1000000000000001</v>
      </c>
      <c r="S15" s="143" t="s">
        <v>327</v>
      </c>
      <c r="T15" s="143">
        <v>1</v>
      </c>
      <c r="U15" s="143">
        <v>115</v>
      </c>
      <c r="V15" s="143">
        <f>$U$45/3</f>
        <v>0.16666666666666666</v>
      </c>
      <c r="W15" s="144">
        <f>V15/60</f>
        <v>2.7777777777777775E-3</v>
      </c>
      <c r="X15" s="145">
        <v>0</v>
      </c>
      <c r="Y15" s="145">
        <v>2.5</v>
      </c>
      <c r="Z15" s="145">
        <f>SUM(X15:Y15)</f>
        <v>2.5</v>
      </c>
      <c r="AA15" s="141" t="s">
        <v>227</v>
      </c>
      <c r="AB15" s="1" t="s">
        <v>468</v>
      </c>
      <c r="AC15" s="1" t="s">
        <v>467</v>
      </c>
      <c r="AD15" s="6"/>
      <c r="AE15" s="6"/>
      <c r="AL15" s="6"/>
    </row>
    <row r="16" spans="1:38" ht="15.75" thickBot="1" x14ac:dyDescent="0.3">
      <c r="A16" s="53"/>
      <c r="B16" s="54" t="str">
        <f>IF(A13="","","SAU12 students exercises")</f>
        <v/>
      </c>
      <c r="C16" s="57" t="str">
        <f>IF($A$13="","",2.5)</f>
        <v/>
      </c>
      <c r="D16" s="57"/>
      <c r="E16" s="56" t="str">
        <f>IF($A$13="","",A16*C16)</f>
        <v/>
      </c>
      <c r="F16" s="56"/>
      <c r="G16" s="78"/>
      <c r="H16" s="54" t="str">
        <f>IF(G16="","← Choose # in ACTIVITY TABLE",VLOOKUP(G16,AKTIVITET,2,FALSE))</f>
        <v>← Choose # in ACTIVITY TABLE</v>
      </c>
      <c r="I16" s="60" t="str">
        <f>IF(I17&gt;100,"↓max 100%","")</f>
        <v/>
      </c>
      <c r="J16" s="64"/>
      <c r="K16" s="65"/>
      <c r="L16" s="56"/>
      <c r="M16" s="56"/>
      <c r="N16" s="8">
        <v>15</v>
      </c>
      <c r="O16" s="141" t="s">
        <v>29</v>
      </c>
      <c r="P16" s="43" t="s">
        <v>331</v>
      </c>
      <c r="Q16" s="41" t="s">
        <v>7</v>
      </c>
      <c r="R16" s="145">
        <v>1.2</v>
      </c>
      <c r="S16" s="143" t="s">
        <v>327</v>
      </c>
      <c r="T16" s="143">
        <v>1</v>
      </c>
      <c r="U16" s="143">
        <v>115</v>
      </c>
      <c r="V16" s="143">
        <f>$U$45/3</f>
        <v>0.16666666666666666</v>
      </c>
      <c r="W16" s="144">
        <f>V16/60</f>
        <v>2.7777777777777775E-3</v>
      </c>
      <c r="X16" s="145">
        <v>2.5</v>
      </c>
      <c r="Y16" s="145">
        <v>2.5</v>
      </c>
      <c r="Z16" s="145">
        <f>SUM(X16:Y16)</f>
        <v>5</v>
      </c>
      <c r="AA16" s="141" t="s">
        <v>2</v>
      </c>
      <c r="AB16" s="1" t="s">
        <v>342</v>
      </c>
      <c r="AC16" s="1" t="s">
        <v>341</v>
      </c>
      <c r="AD16" s="6"/>
      <c r="AE16" s="6"/>
      <c r="AL16" s="6"/>
    </row>
    <row r="17" spans="1:38" ht="15.75" thickBot="1" x14ac:dyDescent="0.3">
      <c r="A17" s="77"/>
      <c r="B17" s="54" t="str">
        <f>IF(A13="","","Presence")</f>
        <v/>
      </c>
      <c r="C17" s="57" t="str">
        <f>IF($A$13="","",1)</f>
        <v/>
      </c>
      <c r="D17" s="57"/>
      <c r="E17" s="56" t="str">
        <f>IF($A$13="","",A17*C17)</f>
        <v/>
      </c>
      <c r="F17" s="56"/>
      <c r="G17" s="79"/>
      <c r="H17" s="66" t="str">
        <f>IF(G16="","",IF(LEFT(H16,4)="Spot","Fixed # of H",IF(VLOOKUP(G16,AKTIVITET,6,FALSE)="Oral",(CONCATENATE("= # of stud. ",(VLOOKUP(G16,AKTIVITET,6,FALSE))," your share% =")),CONCATENATE(VLOOKUP(G16,AKTIVITET,6,FALSE)," your share% ="))))</f>
        <v/>
      </c>
      <c r="I17" s="51">
        <v>100</v>
      </c>
      <c r="J17" s="56" t="str">
        <f>IF(G16="","",VLOOKUP(G16,AKTIVITET,8,FALSE))</f>
        <v/>
      </c>
      <c r="K17" s="54"/>
      <c r="L17" s="56" t="str">
        <f>IF(G16="","",IF(H16="OSCE",J17,IF(VLOOKUP(G16,AKTIVITET,6,FALSE)="Oral",G17*(J17*I17/100),J17*I17/100)))</f>
        <v/>
      </c>
      <c r="M17" s="56"/>
      <c r="N17" s="8">
        <v>16</v>
      </c>
      <c r="O17" s="141" t="s">
        <v>30</v>
      </c>
      <c r="P17" s="43" t="s">
        <v>331</v>
      </c>
      <c r="Q17" s="41" t="s">
        <v>7</v>
      </c>
      <c r="R17" s="145">
        <v>1.3</v>
      </c>
      <c r="S17" s="143" t="s">
        <v>327</v>
      </c>
      <c r="T17" s="143">
        <v>1</v>
      </c>
      <c r="U17" s="143">
        <v>0</v>
      </c>
      <c r="V17" s="143">
        <f>$U$45/3</f>
        <v>0.16666666666666666</v>
      </c>
      <c r="W17" s="144">
        <f>V17/60</f>
        <v>2.7777777777777775E-3</v>
      </c>
      <c r="X17" s="145">
        <v>0</v>
      </c>
      <c r="Y17" s="145">
        <v>2.5</v>
      </c>
      <c r="Z17" s="145">
        <f>SUM(X17:Y17)</f>
        <v>2.5</v>
      </c>
      <c r="AA17" s="141" t="s">
        <v>9</v>
      </c>
      <c r="AB17" s="1" t="s">
        <v>501</v>
      </c>
      <c r="AC17" s="1" t="s">
        <v>500</v>
      </c>
      <c r="AE17" s="6"/>
      <c r="AL17" s="6"/>
    </row>
    <row r="18" spans="1:38" ht="15.75" thickBot="1" x14ac:dyDescent="0.3">
      <c r="A18" s="76"/>
      <c r="B18" s="54" t="str">
        <f>IF(A18="","← Choose # in ACTIVITY TABLE",VLOOKUP(A18,AKTIVITET,2,FALSE))</f>
        <v>← Choose # in ACTIVITY TABLE</v>
      </c>
      <c r="C18" s="54"/>
      <c r="D18" s="54"/>
      <c r="E18" s="54"/>
      <c r="F18" s="56"/>
      <c r="G18" s="78"/>
      <c r="H18" s="54" t="str">
        <f>IF(G18="","← Choose # in ACTIVITY TABLE",VLOOKUP(G18,AKTIVITET,2,FALSE))</f>
        <v>← Choose # in ACTIVITY TABLE</v>
      </c>
      <c r="I18" s="60" t="str">
        <f>IF(I19&gt;100,"↓max 100%","")</f>
        <v/>
      </c>
      <c r="J18" s="64"/>
      <c r="K18" s="65"/>
      <c r="L18" s="56"/>
      <c r="M18" s="56"/>
      <c r="N18" s="8">
        <v>17</v>
      </c>
      <c r="O18" s="142" t="s">
        <v>8</v>
      </c>
      <c r="P18" s="43" t="s">
        <v>331</v>
      </c>
      <c r="Q18" s="41" t="s">
        <v>7</v>
      </c>
      <c r="R18" s="38">
        <v>1.4</v>
      </c>
      <c r="S18" s="37" t="s">
        <v>327</v>
      </c>
      <c r="T18" s="37">
        <v>1</v>
      </c>
      <c r="U18" s="37">
        <v>0.5</v>
      </c>
      <c r="V18" s="37">
        <f>3.5*60</f>
        <v>210</v>
      </c>
      <c r="W18" s="39">
        <f>V18/60</f>
        <v>3.5</v>
      </c>
      <c r="X18" s="38">
        <v>7.5</v>
      </c>
      <c r="Y18" s="38">
        <v>0</v>
      </c>
      <c r="Z18" s="38">
        <f t="shared" ref="Z18:Z29" si="4">SUM(X18:Y18)</f>
        <v>7.5</v>
      </c>
      <c r="AA18" s="160" t="s">
        <v>349</v>
      </c>
      <c r="AB18" s="1" t="s">
        <v>348</v>
      </c>
      <c r="AC18" s="1" t="s">
        <v>348</v>
      </c>
      <c r="AD18" s="6"/>
      <c r="AE18" s="6"/>
      <c r="AL18" s="6"/>
    </row>
    <row r="19" spans="1:38" ht="15.75" thickBot="1" x14ac:dyDescent="0.3">
      <c r="A19" s="75"/>
      <c r="B19" s="54" t="str">
        <f>IF(A18="","",IF(OR(A18=2,A18=3,A18=29),"Note lectures in 2-Medicine","Lectures"))</f>
        <v/>
      </c>
      <c r="C19" s="57" t="str">
        <f>IF($A$18="","",6)</f>
        <v/>
      </c>
      <c r="D19" s="57"/>
      <c r="E19" s="56" t="str">
        <f>IF($A$18="","",A19*C19)</f>
        <v/>
      </c>
      <c r="F19" s="56"/>
      <c r="G19" s="79"/>
      <c r="H19" s="66" t="str">
        <f>IF(G18="","",IF(LEFT(H18,4)="Spot","Fixed # of H",IF(VLOOKUP(G18,AKTIVITET,6,FALSE)="Oral",(CONCATENATE("= # of stud. ",(VLOOKUP(G18,AKTIVITET,6,FALSE))," your share% =")),CONCATENATE(VLOOKUP(G18,AKTIVITET,6,FALSE)," your share% ="))))</f>
        <v/>
      </c>
      <c r="I19" s="51">
        <v>100</v>
      </c>
      <c r="J19" s="56" t="str">
        <f>IF(G18="","",VLOOKUP(G18,AKTIVITET,8,FALSE))</f>
        <v/>
      </c>
      <c r="K19" s="54"/>
      <c r="L19" s="56" t="str">
        <f>IF(G18="","",IF(H18="OSCE",J19,IF(VLOOKUP(G18,AKTIVITET,6,FALSE)="Oral",G19*(J19*I19/100),J19*I19/100)))</f>
        <v/>
      </c>
      <c r="M19" s="56"/>
      <c r="N19" s="8">
        <v>18</v>
      </c>
      <c r="O19" s="6" t="s">
        <v>398</v>
      </c>
      <c r="P19" s="43" t="s">
        <v>331</v>
      </c>
      <c r="Q19" s="40" t="s">
        <v>7</v>
      </c>
      <c r="R19" s="6"/>
      <c r="S19" s="6" t="s">
        <v>326</v>
      </c>
      <c r="T19" s="6">
        <f>20/60</f>
        <v>0.33333333333333331</v>
      </c>
      <c r="U19" s="7">
        <v>0.5</v>
      </c>
      <c r="V19" s="7">
        <v>20</v>
      </c>
      <c r="W19" s="15">
        <f t="shared" ref="W19:W29" si="5">V19/60</f>
        <v>0.33333333333333331</v>
      </c>
      <c r="X19" s="7">
        <v>0</v>
      </c>
      <c r="Y19" s="7">
        <v>7.5</v>
      </c>
      <c r="Z19" s="7">
        <f t="shared" si="4"/>
        <v>7.5</v>
      </c>
      <c r="AA19" s="6" t="s">
        <v>3</v>
      </c>
      <c r="AB19" s="1" t="s">
        <v>400</v>
      </c>
      <c r="AC19" s="1" t="s">
        <v>399</v>
      </c>
      <c r="AD19" s="6"/>
      <c r="AE19" s="6"/>
      <c r="AL19" s="6"/>
    </row>
    <row r="20" spans="1:38" ht="15.75" thickBot="1" x14ac:dyDescent="0.3">
      <c r="A20" s="53"/>
      <c r="B20" s="54" t="str">
        <f>IF(A18="","","SAU24 class room teaching")</f>
        <v/>
      </c>
      <c r="C20" s="57" t="str">
        <f>IF($A$18="","",3.5)</f>
        <v/>
      </c>
      <c r="D20" s="57"/>
      <c r="E20" s="56" t="str">
        <f>IF($A$18="","",A20*C20)</f>
        <v/>
      </c>
      <c r="F20" s="56"/>
      <c r="G20" s="78"/>
      <c r="H20" s="54" t="str">
        <f>IF(G20="","← Choose # in ACTIVITY TABLE",VLOOKUP(G20,AKTIVITET,2,FALSE))</f>
        <v>← Choose # in ACTIVITY TABLE</v>
      </c>
      <c r="I20" s="60" t="str">
        <f>IF(I21&gt;100,"↓max 100%","")</f>
        <v/>
      </c>
      <c r="J20" s="64"/>
      <c r="K20" s="65"/>
      <c r="L20" s="56"/>
      <c r="M20" s="56"/>
      <c r="N20" s="8">
        <v>19</v>
      </c>
      <c r="O20" s="1" t="s">
        <v>124</v>
      </c>
      <c r="P20" s="43" t="s">
        <v>331</v>
      </c>
      <c r="Q20" s="44" t="s">
        <v>7</v>
      </c>
      <c r="S20" s="1" t="s">
        <v>326</v>
      </c>
      <c r="T20" s="6">
        <v>0.5</v>
      </c>
      <c r="U20" s="7">
        <v>0.5</v>
      </c>
      <c r="V20" s="24">
        <v>0.75</v>
      </c>
      <c r="W20" s="15">
        <f t="shared" si="5"/>
        <v>1.2500000000000001E-2</v>
      </c>
      <c r="X20" s="7">
        <v>7.5</v>
      </c>
      <c r="Y20" s="27">
        <v>0</v>
      </c>
      <c r="Z20" s="7">
        <f t="shared" si="4"/>
        <v>7.5</v>
      </c>
      <c r="AA20" s="6" t="s">
        <v>227</v>
      </c>
      <c r="AB20" s="6"/>
      <c r="AC20" s="1" t="s">
        <v>364</v>
      </c>
      <c r="AD20" s="6"/>
      <c r="AE20" s="6"/>
      <c r="AL20" s="6"/>
    </row>
    <row r="21" spans="1:38" x14ac:dyDescent="0.25">
      <c r="A21" s="53"/>
      <c r="B21" s="54" t="str">
        <f>IF(A18="","","SAU12 students exercises")</f>
        <v/>
      </c>
      <c r="C21" s="57" t="str">
        <f>IF($A$18="","",2.5)</f>
        <v/>
      </c>
      <c r="D21" s="57"/>
      <c r="E21" s="56" t="str">
        <f>IF($A$18="","",A21*C21)</f>
        <v/>
      </c>
      <c r="F21" s="56"/>
      <c r="G21" s="75"/>
      <c r="H21" s="66" t="str">
        <f>IF(G20="","",IF(LEFT(H20,4)="Spot","Fixed # of H",IF(VLOOKUP(G20,AKTIVITET,6,FALSE)="Oral",(CONCATENATE("= # of stud. ",(VLOOKUP(G20,AKTIVITET,6,FALSE))," your share% =")),CONCATENATE(VLOOKUP(G20,AKTIVITET,6,FALSE)," your share% ="))))</f>
        <v/>
      </c>
      <c r="I21" s="51">
        <v>100</v>
      </c>
      <c r="J21" s="56" t="str">
        <f>IF(G20="","",VLOOKUP(G20,AKTIVITET,8,FALSE))</f>
        <v/>
      </c>
      <c r="K21" s="54"/>
      <c r="L21" s="56" t="str">
        <f>IF(G20="","",IF(H20="OSCE",J21,IF(VLOOKUP(G20,AKTIVITET,6,FALSE)="Oral",G21*(J21*I21/100),J21*I21/100)))</f>
        <v/>
      </c>
      <c r="M21" s="56"/>
      <c r="N21" s="8">
        <v>20</v>
      </c>
      <c r="O21" s="6" t="s">
        <v>32</v>
      </c>
      <c r="P21" s="43" t="s">
        <v>331</v>
      </c>
      <c r="Q21" s="40" t="s">
        <v>7</v>
      </c>
      <c r="R21" s="6"/>
      <c r="S21" s="6" t="s">
        <v>84</v>
      </c>
      <c r="T21" s="6">
        <v>4</v>
      </c>
      <c r="U21" s="7">
        <v>0.5</v>
      </c>
      <c r="V21" s="7">
        <v>50</v>
      </c>
      <c r="W21" s="15">
        <f t="shared" si="5"/>
        <v>0.83333333333333337</v>
      </c>
      <c r="X21" s="7">
        <v>10</v>
      </c>
      <c r="Y21" s="7">
        <v>0</v>
      </c>
      <c r="Z21" s="7">
        <f t="shared" si="4"/>
        <v>10</v>
      </c>
      <c r="AA21" s="6" t="s">
        <v>3</v>
      </c>
      <c r="AB21" s="1" t="s">
        <v>402</v>
      </c>
      <c r="AC21" s="1" t="s">
        <v>401</v>
      </c>
      <c r="AD21" s="6"/>
      <c r="AE21" s="6"/>
      <c r="AL21" s="6"/>
    </row>
    <row r="22" spans="1:38" ht="15.75" thickBot="1" x14ac:dyDescent="0.3">
      <c r="A22" s="53"/>
      <c r="B22" s="54" t="str">
        <f>IF(A18="","","Presence")</f>
        <v/>
      </c>
      <c r="C22" s="57" t="str">
        <f>IF($A$18="","",1)</f>
        <v/>
      </c>
      <c r="D22" s="57"/>
      <c r="E22" s="56" t="str">
        <f>IF($A$18="","",A22*C22)</f>
        <v/>
      </c>
      <c r="F22" s="56"/>
      <c r="G22" s="54"/>
      <c r="H22" s="67" t="s">
        <v>72</v>
      </c>
      <c r="I22" s="58"/>
      <c r="J22" s="68" t="str">
        <f>IF(SUM(G23:G36)&gt;0,"ECTS","")</f>
        <v/>
      </c>
      <c r="K22" s="54"/>
      <c r="L22" s="54"/>
      <c r="M22" s="56"/>
      <c r="N22" s="8">
        <v>21</v>
      </c>
      <c r="O22" s="1" t="s">
        <v>35</v>
      </c>
      <c r="P22" s="43" t="s">
        <v>331</v>
      </c>
      <c r="Q22" s="44" t="s">
        <v>7</v>
      </c>
      <c r="S22" s="1" t="s">
        <v>326</v>
      </c>
      <c r="T22" s="24">
        <v>0.5</v>
      </c>
      <c r="U22" s="7">
        <v>0.5</v>
      </c>
      <c r="V22" s="24">
        <v>0.5</v>
      </c>
      <c r="W22" s="15">
        <f t="shared" si="5"/>
        <v>8.3333333333333332E-3</v>
      </c>
      <c r="X22" s="7">
        <v>0</v>
      </c>
      <c r="Y22" s="27">
        <v>7.5</v>
      </c>
      <c r="Z22" s="7">
        <f t="shared" si="4"/>
        <v>7.5</v>
      </c>
      <c r="AA22" s="6" t="s">
        <v>227</v>
      </c>
      <c r="AB22" s="1" t="s">
        <v>458</v>
      </c>
      <c r="AC22" s="1" t="s">
        <v>457</v>
      </c>
      <c r="AD22" s="6"/>
      <c r="AE22" s="6"/>
      <c r="AL22" s="6"/>
    </row>
    <row r="23" spans="1:38" ht="15.75" thickBot="1" x14ac:dyDescent="0.3">
      <c r="A23" s="65"/>
      <c r="B23" s="58" t="s">
        <v>68</v>
      </c>
      <c r="C23" s="59" t="s">
        <v>69</v>
      </c>
      <c r="D23" s="59" t="s">
        <v>70</v>
      </c>
      <c r="E23" s="54"/>
      <c r="F23" s="56"/>
      <c r="G23" s="78"/>
      <c r="H23" s="54" t="str">
        <f>IF(G23="","← Choose # in ACTIVITY TABLE",VLOOKUP(G23,AKTIVITET,2,FALSE))</f>
        <v>← Choose # in ACTIVITY TABLE</v>
      </c>
      <c r="I23" s="60" t="str">
        <f>IF(I24&gt;100,"↓max 100%","")</f>
        <v/>
      </c>
      <c r="J23" s="64"/>
      <c r="K23" s="65"/>
      <c r="L23" s="56"/>
      <c r="M23" s="56"/>
      <c r="N23" s="8">
        <v>22</v>
      </c>
      <c r="O23" s="1" t="s">
        <v>33</v>
      </c>
      <c r="P23" s="43" t="s">
        <v>331</v>
      </c>
      <c r="Q23" s="44" t="s">
        <v>7</v>
      </c>
      <c r="S23" s="1" t="s">
        <v>84</v>
      </c>
      <c r="T23" s="7">
        <v>4</v>
      </c>
      <c r="U23" s="7">
        <v>100</v>
      </c>
      <c r="V23" s="7">
        <v>40</v>
      </c>
      <c r="W23" s="15">
        <f t="shared" si="5"/>
        <v>0.66666666666666663</v>
      </c>
      <c r="X23" s="7">
        <v>5</v>
      </c>
      <c r="Y23" s="27">
        <v>2.5</v>
      </c>
      <c r="Z23" s="7">
        <f t="shared" si="4"/>
        <v>7.5</v>
      </c>
      <c r="AA23" s="6" t="s">
        <v>227</v>
      </c>
      <c r="AB23" s="1" t="s">
        <v>456</v>
      </c>
      <c r="AC23" s="1" t="s">
        <v>455</v>
      </c>
      <c r="AD23" s="6"/>
      <c r="AE23" s="6"/>
      <c r="AL23" s="6"/>
    </row>
    <row r="24" spans="1:38" ht="15.75" thickBot="1" x14ac:dyDescent="0.3">
      <c r="A24" s="76"/>
      <c r="B24" s="54" t="str">
        <f>IF(A24="","← Choose # in ACTIVITY TABLE",VLOOKUP(A24,AKTIVITET,2,FALSE))</f>
        <v>← Choose # in ACTIVITY TABLE</v>
      </c>
      <c r="C24" s="52"/>
      <c r="D24" s="99">
        <v>100</v>
      </c>
      <c r="E24" s="56" t="str">
        <f>IF(A24="","",IF(C24="","",(IF(VLOOKUP(A24,AKTIVITET,13,FALSE)&gt;40,40,VLOOKUP(A24,AKTIVITET,13,FALSE))*2*VLOOKUP(C24,VEJLEDNING,2,FALSE)*D24/100)))</f>
        <v/>
      </c>
      <c r="F24" s="56"/>
      <c r="G24" s="79"/>
      <c r="H24" s="62" t="str">
        <f>IF(G23="","",IF(OR(LEFT(H23,4)="Spot",LEFT(H23,4)="Inte"),"No hours","= # of classes. Your % of course l="))</f>
        <v/>
      </c>
      <c r="I24" s="51">
        <v>100</v>
      </c>
      <c r="J24" s="56" t="str">
        <f>IF(G23="","",VLOOKUP(G23,AKTIVITET,13,FALSE))</f>
        <v/>
      </c>
      <c r="K24" s="54"/>
      <c r="L24" s="56" t="str">
        <f>IF(G23="","",IF(LEFT(H23,4)="Spot",0,IF(LEFT(H23,6)="Integr",0,IF(5*J24&lt;20,20,IF((5*J24)&gt;60,60,5*J24)+IF(G24&gt;1,5*J24*(G24-1)*0.1,0))))*I24/100)</f>
        <v/>
      </c>
      <c r="M24" s="56"/>
      <c r="N24" s="8">
        <v>23</v>
      </c>
      <c r="O24" s="6" t="s">
        <v>469</v>
      </c>
      <c r="P24" s="43" t="s">
        <v>331</v>
      </c>
      <c r="Q24" s="44" t="s">
        <v>7</v>
      </c>
      <c r="S24" s="1" t="s">
        <v>326</v>
      </c>
      <c r="T24" s="7">
        <f>(10+10)/60</f>
        <v>0.33333333333333331</v>
      </c>
      <c r="U24" s="7">
        <v>0</v>
      </c>
      <c r="V24" s="7">
        <v>40</v>
      </c>
      <c r="W24" s="15">
        <f t="shared" si="5"/>
        <v>0.66666666666666663</v>
      </c>
      <c r="X24" s="7">
        <v>0</v>
      </c>
      <c r="Y24" s="27">
        <v>7.5</v>
      </c>
      <c r="Z24" s="7">
        <f t="shared" si="4"/>
        <v>7.5</v>
      </c>
      <c r="AA24" s="1" t="s">
        <v>227</v>
      </c>
      <c r="AB24" s="1" t="s">
        <v>471</v>
      </c>
      <c r="AC24" s="1" t="s">
        <v>470</v>
      </c>
      <c r="AD24" s="6"/>
      <c r="AE24" s="6"/>
      <c r="AL24" s="6"/>
    </row>
    <row r="25" spans="1:38" ht="15.75" thickBot="1" x14ac:dyDescent="0.3">
      <c r="A25" s="73" t="str">
        <f>IF(A24="","","Who?:")</f>
        <v/>
      </c>
      <c r="B25" s="168"/>
      <c r="C25" s="169"/>
      <c r="D25" s="170"/>
      <c r="E25" s="63"/>
      <c r="F25" s="56"/>
      <c r="G25" s="78"/>
      <c r="H25" s="54" t="str">
        <f>IF(G25="","← Choose # in ACTIVITY TABLE",VLOOKUP(G25,AKTIVITET,2,FALSE))</f>
        <v>← Choose # in ACTIVITY TABLE</v>
      </c>
      <c r="I25" s="60" t="str">
        <f>IF(I26&gt;100,"↓max 100%","")</f>
        <v/>
      </c>
      <c r="J25" s="64"/>
      <c r="K25" s="65"/>
      <c r="L25" s="56"/>
      <c r="M25" s="56"/>
      <c r="N25" s="8">
        <v>24</v>
      </c>
      <c r="O25" s="6" t="s">
        <v>473</v>
      </c>
      <c r="P25" s="43" t="s">
        <v>331</v>
      </c>
      <c r="Q25" s="44" t="s">
        <v>7</v>
      </c>
      <c r="S25" s="1" t="s">
        <v>84</v>
      </c>
      <c r="T25" s="7">
        <f>(1+2)</f>
        <v>3</v>
      </c>
      <c r="U25" s="7">
        <v>0</v>
      </c>
      <c r="V25" s="7">
        <v>40</v>
      </c>
      <c r="W25" s="15">
        <f t="shared" si="5"/>
        <v>0.66666666666666663</v>
      </c>
      <c r="X25" s="7">
        <f>(2.5+7.5)</f>
        <v>10</v>
      </c>
      <c r="Y25" s="27">
        <v>0</v>
      </c>
      <c r="Z25" s="7">
        <f t="shared" si="4"/>
        <v>10</v>
      </c>
      <c r="AA25" s="1" t="s">
        <v>227</v>
      </c>
      <c r="AB25" s="1" t="s">
        <v>475</v>
      </c>
      <c r="AC25" s="1" t="s">
        <v>474</v>
      </c>
      <c r="AD25" s="6"/>
      <c r="AE25" s="6"/>
      <c r="AL25" s="6"/>
    </row>
    <row r="26" spans="1:38" ht="15.75" thickBot="1" x14ac:dyDescent="0.3">
      <c r="A26" s="78"/>
      <c r="B26" s="54" t="str">
        <f>IF(A26="","← Choose # in ACTIVITY TABLE",VLOOKUP(A26,AKTIVITET,2,FALSE))</f>
        <v>← Choose # in ACTIVITY TABLE</v>
      </c>
      <c r="C26" s="75"/>
      <c r="D26" s="100">
        <v>100</v>
      </c>
      <c r="E26" s="56" t="str">
        <f>IF(A26="","",IF(C26="","",(IF(VLOOKUP(A26,AKTIVITET,13,FALSE)&gt;40,40,VLOOKUP(A26,AKTIVITET,13,FALSE))*2*VLOOKUP(C26,VEJLEDNING,2,FALSE)*D26/100)))</f>
        <v/>
      </c>
      <c r="F26" s="56"/>
      <c r="G26" s="79"/>
      <c r="H26" s="62" t="str">
        <f>IF(G25="","",IF(OR(LEFT(H25,4)="Spot",LEFT(H25,4)="Inte"),"No hours","= # of classes. Your % of course l="))</f>
        <v/>
      </c>
      <c r="I26" s="51">
        <v>100</v>
      </c>
      <c r="J26" s="56" t="str">
        <f>IF(G25="","",VLOOKUP(G25,AKTIVITET,13,FALSE))</f>
        <v/>
      </c>
      <c r="K26" s="54"/>
      <c r="L26" s="56" t="str">
        <f>IF(G25="","",IF(LEFT(H25,4)="Spot",0,IF(LEFT(H25,6)="Integr",0,IF(5*J26&lt;20,20,IF((5*J26)&gt;60,60,5*J26)+IF(G26&gt;1,5*J26*(G26-1)*0.1,0))))*I26/100)</f>
        <v/>
      </c>
      <c r="M26" s="56"/>
      <c r="N26" s="8">
        <v>25</v>
      </c>
      <c r="O26" s="1" t="s">
        <v>34</v>
      </c>
      <c r="P26" s="43" t="s">
        <v>331</v>
      </c>
      <c r="Q26" s="44" t="s">
        <v>7</v>
      </c>
      <c r="S26" s="1" t="s">
        <v>86</v>
      </c>
      <c r="T26" s="27">
        <v>0</v>
      </c>
      <c r="U26" s="27">
        <v>25</v>
      </c>
      <c r="V26" s="27">
        <v>45</v>
      </c>
      <c r="W26" s="15">
        <f t="shared" si="5"/>
        <v>0.75</v>
      </c>
      <c r="X26" s="7">
        <v>0</v>
      </c>
      <c r="Y26" s="27">
        <v>5</v>
      </c>
      <c r="Z26" s="7">
        <f t="shared" si="4"/>
        <v>5</v>
      </c>
      <c r="AA26" s="6" t="s">
        <v>3</v>
      </c>
      <c r="AB26" s="1" t="s">
        <v>397</v>
      </c>
      <c r="AC26" s="1" t="s">
        <v>396</v>
      </c>
      <c r="AD26" s="6"/>
      <c r="AE26" s="6"/>
      <c r="AL26" s="6"/>
    </row>
    <row r="27" spans="1:38" ht="15.75" thickBot="1" x14ac:dyDescent="0.3">
      <c r="A27" s="73" t="str">
        <f>IF(A26="","","Who?:")</f>
        <v/>
      </c>
      <c r="B27" s="168"/>
      <c r="C27" s="169"/>
      <c r="D27" s="170"/>
      <c r="E27" s="63"/>
      <c r="F27" s="56"/>
      <c r="G27" s="81"/>
      <c r="H27" s="54" t="str">
        <f>IF(G27="","← Choose # in ACTIVITY TABLE",VLOOKUP(G27,AKTIVITET,2,FALSE))</f>
        <v>← Choose # in ACTIVITY TABLE</v>
      </c>
      <c r="I27" s="60" t="str">
        <f>IF(I28&gt;100,"↓max 100%","")</f>
        <v/>
      </c>
      <c r="J27" s="64"/>
      <c r="K27" s="65"/>
      <c r="L27" s="56"/>
      <c r="M27" s="56"/>
      <c r="N27" s="8">
        <v>26</v>
      </c>
      <c r="O27" s="6" t="s">
        <v>31</v>
      </c>
      <c r="P27" s="43" t="s">
        <v>331</v>
      </c>
      <c r="Q27" s="40" t="s">
        <v>7</v>
      </c>
      <c r="R27" s="6"/>
      <c r="S27" s="6" t="s">
        <v>327</v>
      </c>
      <c r="T27" s="7">
        <v>1</v>
      </c>
      <c r="U27" s="7">
        <v>0</v>
      </c>
      <c r="V27" s="7">
        <v>60</v>
      </c>
      <c r="W27" s="15">
        <f t="shared" si="5"/>
        <v>1</v>
      </c>
      <c r="X27" s="7">
        <v>0</v>
      </c>
      <c r="Y27" s="7">
        <v>50</v>
      </c>
      <c r="Z27" s="7">
        <f t="shared" si="4"/>
        <v>50</v>
      </c>
      <c r="AA27" s="6" t="s">
        <v>3</v>
      </c>
      <c r="AB27" s="1" t="s">
        <v>425</v>
      </c>
      <c r="AC27" s="1" t="s">
        <v>424</v>
      </c>
      <c r="AD27" s="6"/>
      <c r="AE27" s="6"/>
      <c r="AL27" s="6"/>
    </row>
    <row r="28" spans="1:38" ht="15.75" thickBot="1" x14ac:dyDescent="0.3">
      <c r="A28" s="76"/>
      <c r="B28" s="54" t="str">
        <f>IF(A28="","← Choose # in ACTIVITY TABLE",VLOOKUP(A28,AKTIVITET,2,FALSE))</f>
        <v>← Choose # in ACTIVITY TABLE</v>
      </c>
      <c r="C28" s="101"/>
      <c r="D28" s="100">
        <v>100</v>
      </c>
      <c r="E28" s="56" t="str">
        <f>IF(A28="","",IF(C28="","",(IF(VLOOKUP(A28,AKTIVITET,13,FALSE)&gt;40,40,VLOOKUP(A28,AKTIVITET,13,FALSE))*2*VLOOKUP(C28,VEJLEDNING,2,FALSE)*D28/100)))</f>
        <v/>
      </c>
      <c r="F28" s="56"/>
      <c r="G28" s="53"/>
      <c r="H28" s="62" t="str">
        <f>IF(G27="","",IF(OR(LEFT(H27,4)="Spot",LEFT(H27,4)="Inte"),"No hours","= # of classes. Your % of course l="))</f>
        <v/>
      </c>
      <c r="I28" s="51">
        <v>100</v>
      </c>
      <c r="J28" s="56" t="str">
        <f>IF(G27="","",VLOOKUP(G27,AKTIVITET,13,FALSE))</f>
        <v/>
      </c>
      <c r="K28" s="54"/>
      <c r="L28" s="56" t="str">
        <f>IF(G27="","",IF(LEFT(H27,4)="Spot",0,IF(LEFT(H27,6)="Integr",0,IF(5*J28&lt;20,20,IF((5*J28)&gt;60,60,5*J28)+IF(G28&gt;1,5*J28*(G28-1)*0.1,0))))*I28/100)</f>
        <v/>
      </c>
      <c r="M28" s="56"/>
      <c r="N28" s="8">
        <v>27</v>
      </c>
      <c r="O28" s="6" t="s">
        <v>546</v>
      </c>
      <c r="P28" s="43" t="s">
        <v>331</v>
      </c>
      <c r="Q28" s="40" t="s">
        <v>7</v>
      </c>
      <c r="S28" s="6" t="s">
        <v>327</v>
      </c>
      <c r="T28" s="7">
        <v>1</v>
      </c>
      <c r="U28" s="7">
        <v>0</v>
      </c>
      <c r="V28" s="7">
        <v>60</v>
      </c>
      <c r="W28" s="15">
        <f t="shared" si="5"/>
        <v>1</v>
      </c>
      <c r="X28" s="7">
        <v>0</v>
      </c>
      <c r="Y28" s="7">
        <v>60</v>
      </c>
      <c r="Z28" s="7">
        <f t="shared" si="4"/>
        <v>60</v>
      </c>
      <c r="AA28" s="1" t="s">
        <v>18</v>
      </c>
      <c r="AB28" s="1" t="s">
        <v>545</v>
      </c>
      <c r="AC28" s="1" t="s">
        <v>544</v>
      </c>
      <c r="AD28" s="6"/>
      <c r="AE28" s="6"/>
      <c r="AL28" s="6"/>
    </row>
    <row r="29" spans="1:38" ht="15.75" thickBot="1" x14ac:dyDescent="0.3">
      <c r="A29" s="73" t="str">
        <f>IF(A28="","","Who?:")</f>
        <v/>
      </c>
      <c r="B29" s="168"/>
      <c r="C29" s="169"/>
      <c r="D29" s="170"/>
      <c r="E29" s="63"/>
      <c r="F29" s="56"/>
      <c r="G29" s="58" t="s">
        <v>69</v>
      </c>
      <c r="H29" s="59" t="s">
        <v>119</v>
      </c>
      <c r="I29" s="54"/>
      <c r="J29" s="54"/>
      <c r="K29" s="59" t="s">
        <v>71</v>
      </c>
      <c r="L29" s="54"/>
      <c r="M29" s="56"/>
      <c r="N29" s="8">
        <v>28</v>
      </c>
      <c r="O29" s="6" t="s">
        <v>486</v>
      </c>
      <c r="P29" s="43" t="s">
        <v>331</v>
      </c>
      <c r="Q29" s="40" t="s">
        <v>7</v>
      </c>
      <c r="R29" s="6"/>
      <c r="S29" s="6" t="s">
        <v>327</v>
      </c>
      <c r="T29" s="7">
        <v>1</v>
      </c>
      <c r="U29" s="7">
        <v>0</v>
      </c>
      <c r="V29" s="7">
        <v>60</v>
      </c>
      <c r="W29" s="15">
        <f t="shared" si="5"/>
        <v>1</v>
      </c>
      <c r="X29" s="7">
        <v>0</v>
      </c>
      <c r="Y29" s="7">
        <v>60</v>
      </c>
      <c r="Z29" s="7">
        <f t="shared" si="4"/>
        <v>60</v>
      </c>
      <c r="AA29" s="1" t="s">
        <v>227</v>
      </c>
      <c r="AB29" s="1" t="s">
        <v>488</v>
      </c>
      <c r="AC29" s="1" t="s">
        <v>487</v>
      </c>
      <c r="AD29" s="6"/>
      <c r="AE29" s="6"/>
      <c r="AL29" s="6"/>
    </row>
    <row r="30" spans="1:38" ht="15.75" thickBot="1" x14ac:dyDescent="0.3">
      <c r="A30" s="78"/>
      <c r="B30" s="54" t="str">
        <f>IF(A30="","← Choose # in ACTIVITY TABLE",VLOOKUP(A30,AKTIVITET,2,FALSE))</f>
        <v>← Choose # in ACTIVITY TABLE</v>
      </c>
      <c r="C30" s="75"/>
      <c r="D30" s="100">
        <v>100</v>
      </c>
      <c r="E30" s="56" t="str">
        <f>IF(A30="","",IF(C30="","",(IF(VLOOKUP(A30,AKTIVITET,13,FALSE)&gt;40,40,VLOOKUP(A30,AKTIVITET,13,FALSE))*2*VLOOKUP(C30,VEJLEDNING,2,FALSE)*D30/100)))</f>
        <v/>
      </c>
      <c r="F30" s="56"/>
      <c r="G30" s="53"/>
      <c r="H30" s="172"/>
      <c r="I30" s="173"/>
      <c r="J30" s="174"/>
      <c r="K30" s="53"/>
      <c r="L30" s="56" t="str">
        <f>IF(H30="","",G30*K30)</f>
        <v/>
      </c>
      <c r="M30" s="56"/>
      <c r="N30" s="8">
        <v>29</v>
      </c>
      <c r="O30" s="1" t="s">
        <v>36</v>
      </c>
      <c r="P30" s="43" t="s">
        <v>331</v>
      </c>
      <c r="Q30" s="44" t="s">
        <v>7</v>
      </c>
      <c r="S30" s="1" t="s">
        <v>326</v>
      </c>
      <c r="T30" s="24">
        <v>0.5</v>
      </c>
      <c r="U30" s="7">
        <v>0.5</v>
      </c>
      <c r="V30" s="24">
        <v>0.5</v>
      </c>
      <c r="W30" s="15">
        <f t="shared" ref="W30" si="6">V30/60</f>
        <v>8.3333333333333332E-3</v>
      </c>
      <c r="X30" s="7">
        <v>0</v>
      </c>
      <c r="Y30" s="27">
        <v>5</v>
      </c>
      <c r="Z30" s="7">
        <f t="shared" ref="Z30" si="7">SUM(X30:Y30)</f>
        <v>5</v>
      </c>
      <c r="AA30" s="6" t="s">
        <v>3</v>
      </c>
      <c r="AB30" s="6" t="s">
        <v>450</v>
      </c>
      <c r="AC30" s="6" t="s">
        <v>449</v>
      </c>
      <c r="AD30" s="6"/>
      <c r="AE30" s="6"/>
      <c r="AL30" s="6"/>
    </row>
    <row r="31" spans="1:38" x14ac:dyDescent="0.25">
      <c r="A31" s="73" t="str">
        <f>IF(A30="","","Who?:")</f>
        <v/>
      </c>
      <c r="B31" s="168"/>
      <c r="C31" s="169"/>
      <c r="D31" s="170"/>
      <c r="E31" s="63"/>
      <c r="F31" s="56"/>
      <c r="G31" s="53"/>
      <c r="H31" s="172"/>
      <c r="I31" s="173"/>
      <c r="J31" s="174"/>
      <c r="K31" s="53"/>
      <c r="L31" s="56" t="str">
        <f>IF(H31="","",G31*K31)</f>
        <v/>
      </c>
      <c r="M31" s="56"/>
      <c r="N31" s="8">
        <v>30</v>
      </c>
      <c r="O31" s="141" t="s">
        <v>57</v>
      </c>
      <c r="P31" s="84" t="s">
        <v>330</v>
      </c>
      <c r="Q31" s="84" t="s">
        <v>6</v>
      </c>
      <c r="R31" s="6"/>
      <c r="S31" s="141" t="s">
        <v>328</v>
      </c>
      <c r="T31" s="145">
        <f>5-0.5-0.833</f>
        <v>3.6669999999999998</v>
      </c>
      <c r="U31" s="145">
        <f>130*12.5/15</f>
        <v>108.33333333333333</v>
      </c>
      <c r="V31" s="145">
        <v>25</v>
      </c>
      <c r="W31" s="144">
        <f>V31/60</f>
        <v>0.41666666666666669</v>
      </c>
      <c r="X31" s="145">
        <v>12.5</v>
      </c>
      <c r="Y31" s="145">
        <v>0</v>
      </c>
      <c r="Z31" s="145">
        <f>SUM(X31:Y31)</f>
        <v>12.5</v>
      </c>
      <c r="AA31" s="141" t="s">
        <v>2</v>
      </c>
      <c r="AB31" s="6"/>
      <c r="AC31" s="1" t="s">
        <v>359</v>
      </c>
      <c r="AD31" s="6"/>
      <c r="AE31" s="6"/>
      <c r="AL31" s="6"/>
    </row>
    <row r="32" spans="1:38" x14ac:dyDescent="0.25">
      <c r="A32" s="63"/>
      <c r="B32" s="54"/>
      <c r="C32" s="54"/>
      <c r="D32" s="54"/>
      <c r="E32" s="56"/>
      <c r="F32" s="56"/>
      <c r="G32" s="53"/>
      <c r="H32" s="172"/>
      <c r="I32" s="173"/>
      <c r="J32" s="174"/>
      <c r="K32" s="53"/>
      <c r="L32" s="56" t="str">
        <f>IF(H32="","",G32*K32)</f>
        <v/>
      </c>
      <c r="M32" s="56"/>
      <c r="N32" s="8">
        <v>31</v>
      </c>
      <c r="O32" s="141" t="s">
        <v>58</v>
      </c>
      <c r="P32" s="84" t="s">
        <v>330</v>
      </c>
      <c r="Q32" s="84" t="s">
        <v>6</v>
      </c>
      <c r="R32" s="6"/>
      <c r="S32" s="141" t="s">
        <v>84</v>
      </c>
      <c r="T32" s="145">
        <f>30/60</f>
        <v>0.5</v>
      </c>
      <c r="U32" s="145">
        <v>50</v>
      </c>
      <c r="V32" s="145">
        <v>30</v>
      </c>
      <c r="W32" s="144">
        <f>V32/60</f>
        <v>0.5</v>
      </c>
      <c r="X32" s="145">
        <v>0</v>
      </c>
      <c r="Y32" s="145">
        <v>0</v>
      </c>
      <c r="Z32" s="145">
        <f>SUM(X32:Y32)</f>
        <v>0</v>
      </c>
      <c r="AA32" s="141" t="s">
        <v>2</v>
      </c>
      <c r="AB32" s="6"/>
      <c r="AD32" s="6"/>
      <c r="AE32" s="6"/>
    </row>
    <row r="33" spans="1:38" x14ac:dyDescent="0.25">
      <c r="A33" s="33"/>
      <c r="B33" s="63"/>
      <c r="C33" s="54"/>
      <c r="D33" s="54"/>
      <c r="E33" s="63"/>
      <c r="F33" s="56"/>
      <c r="G33" s="54"/>
      <c r="H33" s="58" t="s">
        <v>120</v>
      </c>
      <c r="I33" s="54"/>
      <c r="J33" s="54"/>
      <c r="K33" s="54"/>
      <c r="L33" s="54"/>
      <c r="M33" s="56"/>
      <c r="N33" s="8">
        <v>32</v>
      </c>
      <c r="O33" s="141" t="s">
        <v>59</v>
      </c>
      <c r="P33" s="84" t="s">
        <v>330</v>
      </c>
      <c r="Q33" s="84" t="s">
        <v>6</v>
      </c>
      <c r="R33" s="6"/>
      <c r="S33" s="141" t="s">
        <v>328</v>
      </c>
      <c r="T33" s="145">
        <f>50/60</f>
        <v>0.83333333333333337</v>
      </c>
      <c r="U33" s="145">
        <f>130*2.5/15</f>
        <v>21.666666666666668</v>
      </c>
      <c r="V33" s="145">
        <v>15</v>
      </c>
      <c r="W33" s="144">
        <f>V33/60</f>
        <v>0.25</v>
      </c>
      <c r="X33" s="145">
        <v>0</v>
      </c>
      <c r="Y33" s="145">
        <v>0</v>
      </c>
      <c r="Z33" s="145">
        <f>SUM(X33:Y33)</f>
        <v>0</v>
      </c>
      <c r="AA33" s="141" t="s">
        <v>227</v>
      </c>
      <c r="AB33" s="1"/>
      <c r="AC33" s="1" t="s">
        <v>482</v>
      </c>
      <c r="AD33" s="6"/>
      <c r="AE33" s="6"/>
    </row>
    <row r="34" spans="1:38" x14ac:dyDescent="0.25">
      <c r="A34" s="33"/>
      <c r="B34" s="63"/>
      <c r="C34" s="54"/>
      <c r="D34" s="54"/>
      <c r="E34" s="63"/>
      <c r="F34" s="56"/>
      <c r="G34" s="180"/>
      <c r="H34" s="181"/>
      <c r="I34" s="181"/>
      <c r="J34" s="182"/>
      <c r="K34" s="54"/>
      <c r="L34" s="51"/>
      <c r="M34" s="56"/>
      <c r="N34" s="8">
        <v>33</v>
      </c>
      <c r="O34" s="142" t="s">
        <v>60</v>
      </c>
      <c r="P34" s="84" t="s">
        <v>330</v>
      </c>
      <c r="Q34" s="84" t="s">
        <v>6</v>
      </c>
      <c r="R34" s="36"/>
      <c r="S34" s="36" t="s">
        <v>84</v>
      </c>
      <c r="T34" s="38">
        <v>5</v>
      </c>
      <c r="U34" s="38">
        <f>130+50</f>
        <v>180</v>
      </c>
      <c r="V34" s="38">
        <v>75</v>
      </c>
      <c r="W34" s="39">
        <f>V34/60</f>
        <v>1.25</v>
      </c>
      <c r="X34" s="38">
        <v>15</v>
      </c>
      <c r="Y34" s="38">
        <v>0</v>
      </c>
      <c r="Z34" s="38">
        <f>SUM(X34:Y34)</f>
        <v>15</v>
      </c>
      <c r="AA34" s="162" t="s">
        <v>499</v>
      </c>
      <c r="AB34" s="1" t="s">
        <v>351</v>
      </c>
      <c r="AC34" s="1" t="s">
        <v>351</v>
      </c>
      <c r="AD34" s="6"/>
      <c r="AE34" s="6"/>
    </row>
    <row r="35" spans="1:38" x14ac:dyDescent="0.25">
      <c r="A35" s="33"/>
      <c r="B35" s="63"/>
      <c r="C35" s="54"/>
      <c r="D35" s="54"/>
      <c r="E35" s="63"/>
      <c r="F35" s="56"/>
      <c r="G35" s="180"/>
      <c r="H35" s="181"/>
      <c r="I35" s="181"/>
      <c r="J35" s="182"/>
      <c r="K35" s="54"/>
      <c r="L35" s="51"/>
      <c r="M35" s="56"/>
      <c r="N35" s="8">
        <v>34</v>
      </c>
      <c r="O35" s="6" t="s">
        <v>47</v>
      </c>
      <c r="P35" s="84" t="s">
        <v>330</v>
      </c>
      <c r="Q35" s="84" t="s">
        <v>6</v>
      </c>
      <c r="R35" s="6"/>
      <c r="S35" s="6" t="s">
        <v>84</v>
      </c>
      <c r="T35" s="7">
        <v>2</v>
      </c>
      <c r="U35" s="7">
        <v>70</v>
      </c>
      <c r="V35" s="7">
        <v>30</v>
      </c>
      <c r="W35" s="15">
        <f t="shared" ref="W35:W36" si="8">V35/60</f>
        <v>0.5</v>
      </c>
      <c r="X35" s="7">
        <v>5</v>
      </c>
      <c r="Y35" s="7">
        <v>2.5</v>
      </c>
      <c r="Z35" s="7">
        <f>SUM(X35:Y35)</f>
        <v>7.5</v>
      </c>
      <c r="AA35" s="6" t="s">
        <v>2</v>
      </c>
      <c r="AB35" s="1" t="s">
        <v>347</v>
      </c>
      <c r="AC35" s="1" t="s">
        <v>362</v>
      </c>
      <c r="AD35" s="6"/>
      <c r="AE35" s="6"/>
      <c r="AL35" s="6"/>
    </row>
    <row r="36" spans="1:38" x14ac:dyDescent="0.25">
      <c r="A36" s="33"/>
      <c r="B36" s="63"/>
      <c r="C36" s="54"/>
      <c r="D36" s="54"/>
      <c r="E36" s="63"/>
      <c r="F36" s="56"/>
      <c r="G36" s="180"/>
      <c r="H36" s="181"/>
      <c r="I36" s="181"/>
      <c r="J36" s="182"/>
      <c r="K36" s="54"/>
      <c r="L36" s="51"/>
      <c r="M36" s="56"/>
      <c r="N36" s="8">
        <v>35</v>
      </c>
      <c r="O36" s="6" t="s">
        <v>37</v>
      </c>
      <c r="P36" s="84" t="s">
        <v>330</v>
      </c>
      <c r="Q36" s="84" t="s">
        <v>6</v>
      </c>
      <c r="R36" s="6"/>
      <c r="S36" s="45" t="s">
        <v>84</v>
      </c>
      <c r="T36" s="7">
        <v>2</v>
      </c>
      <c r="U36" s="7">
        <v>70</v>
      </c>
      <c r="V36" s="7">
        <v>20</v>
      </c>
      <c r="W36" s="15">
        <f t="shared" si="8"/>
        <v>0.33333333333333331</v>
      </c>
      <c r="X36" s="7">
        <v>0</v>
      </c>
      <c r="Y36" s="7">
        <v>15</v>
      </c>
      <c r="Z36" s="7">
        <f t="shared" ref="Z36" si="9">SUM(X36:Y36)</f>
        <v>15</v>
      </c>
      <c r="AA36" s="6" t="s">
        <v>3</v>
      </c>
      <c r="AB36" s="24"/>
      <c r="AC36" s="1" t="s">
        <v>407</v>
      </c>
      <c r="AD36" s="6"/>
      <c r="AE36" s="6"/>
      <c r="AL36" s="6"/>
    </row>
    <row r="37" spans="1:38" x14ac:dyDescent="0.25">
      <c r="A37" s="33"/>
      <c r="B37" s="63"/>
      <c r="C37" s="54"/>
      <c r="D37" s="54"/>
      <c r="E37" s="63"/>
      <c r="F37" s="56"/>
      <c r="G37" s="54"/>
      <c r="H37" s="54"/>
      <c r="I37" s="54"/>
      <c r="J37" s="54"/>
      <c r="K37" s="54"/>
      <c r="L37" s="56"/>
      <c r="M37" s="56"/>
      <c r="N37" s="8">
        <v>36</v>
      </c>
      <c r="O37" s="1" t="s">
        <v>38</v>
      </c>
      <c r="P37" s="84" t="s">
        <v>330</v>
      </c>
      <c r="Q37" s="84" t="s">
        <v>6</v>
      </c>
      <c r="R37" s="6"/>
      <c r="S37" s="1" t="s">
        <v>326</v>
      </c>
      <c r="T37" s="24">
        <f>(12+18)/60</f>
        <v>0.5</v>
      </c>
      <c r="U37" s="7">
        <v>0.5</v>
      </c>
      <c r="V37" s="7">
        <v>30</v>
      </c>
      <c r="W37" s="15">
        <f t="shared" ref="W37:W39" si="10">V37/60</f>
        <v>0.5</v>
      </c>
      <c r="X37" s="7">
        <v>0</v>
      </c>
      <c r="Y37" s="27">
        <v>7.5</v>
      </c>
      <c r="Z37" s="7">
        <f>SUM(X37:Y37)</f>
        <v>7.5</v>
      </c>
      <c r="AA37" s="6" t="s">
        <v>227</v>
      </c>
      <c r="AB37" s="24"/>
      <c r="AC37" s="1" t="s">
        <v>463</v>
      </c>
      <c r="AD37" s="6"/>
      <c r="AE37" s="6"/>
      <c r="AL37" s="6"/>
    </row>
    <row r="38" spans="1:38" x14ac:dyDescent="0.25">
      <c r="A38" s="33"/>
      <c r="B38" s="63"/>
      <c r="C38" s="54"/>
      <c r="D38" s="54"/>
      <c r="E38" s="63"/>
      <c r="F38" s="56"/>
      <c r="G38" s="54"/>
      <c r="H38" s="69" t="s">
        <v>76</v>
      </c>
      <c r="I38" s="54"/>
      <c r="J38" s="54"/>
      <c r="K38" s="54"/>
      <c r="L38" s="70">
        <f>SUM(L4:L37)</f>
        <v>0</v>
      </c>
      <c r="M38" s="56"/>
      <c r="N38" s="8">
        <v>37</v>
      </c>
      <c r="O38" s="6" t="s">
        <v>123</v>
      </c>
      <c r="P38" s="84" t="s">
        <v>330</v>
      </c>
      <c r="Q38" s="84" t="s">
        <v>6</v>
      </c>
      <c r="R38" s="7"/>
      <c r="S38" s="45" t="s">
        <v>84</v>
      </c>
      <c r="T38" s="7">
        <v>4</v>
      </c>
      <c r="U38" s="7">
        <v>100</v>
      </c>
      <c r="V38" s="7">
        <v>40</v>
      </c>
      <c r="W38" s="15">
        <f t="shared" si="10"/>
        <v>0.66666666666666663</v>
      </c>
      <c r="X38" s="7">
        <v>0</v>
      </c>
      <c r="Y38" s="27">
        <v>15</v>
      </c>
      <c r="Z38" s="7">
        <f>SUM(X38:Y38)</f>
        <v>15</v>
      </c>
      <c r="AA38" s="6" t="s">
        <v>3</v>
      </c>
      <c r="AB38" s="24"/>
      <c r="AC38" s="6" t="s">
        <v>365</v>
      </c>
      <c r="AD38" s="6"/>
      <c r="AE38" s="6"/>
      <c r="AL38" s="6"/>
    </row>
    <row r="39" spans="1:38" x14ac:dyDescent="0.25">
      <c r="A39" s="33"/>
      <c r="B39" s="63"/>
      <c r="C39" s="54"/>
      <c r="D39" s="54"/>
      <c r="E39" s="63"/>
      <c r="F39" s="63"/>
      <c r="G39" s="63"/>
      <c r="H39" s="82" t="s">
        <v>78</v>
      </c>
      <c r="I39" s="106"/>
      <c r="J39" s="106"/>
      <c r="K39" s="106"/>
      <c r="L39" s="107">
        <f>E40</f>
        <v>0</v>
      </c>
      <c r="M39" s="7"/>
      <c r="N39" s="8">
        <v>38</v>
      </c>
      <c r="O39" s="6" t="s">
        <v>554</v>
      </c>
      <c r="P39" s="84" t="s">
        <v>330</v>
      </c>
      <c r="Q39" s="84" t="s">
        <v>6</v>
      </c>
      <c r="R39" s="6"/>
      <c r="S39" s="6" t="s">
        <v>327</v>
      </c>
      <c r="T39" s="24">
        <v>0.5</v>
      </c>
      <c r="U39" s="13">
        <v>25</v>
      </c>
      <c r="V39" s="13">
        <f>45+45</f>
        <v>90</v>
      </c>
      <c r="W39" s="15">
        <f t="shared" si="10"/>
        <v>1.5</v>
      </c>
      <c r="X39" s="7">
        <v>0</v>
      </c>
      <c r="Y39" s="13">
        <v>15</v>
      </c>
      <c r="Z39" s="7">
        <f t="shared" ref="Z39" si="11">SUM(X39:Y39)</f>
        <v>15</v>
      </c>
      <c r="AA39" s="6" t="s">
        <v>2</v>
      </c>
      <c r="AD39" s="6"/>
      <c r="AE39" s="6"/>
      <c r="AL39" s="6"/>
    </row>
    <row r="40" spans="1:38" ht="15.75" thickBot="1" x14ac:dyDescent="0.3">
      <c r="A40" s="58"/>
      <c r="B40" s="82" t="s">
        <v>78</v>
      </c>
      <c r="C40" s="82"/>
      <c r="D40" s="82"/>
      <c r="E40" s="83">
        <f>SUM(E4:F39)</f>
        <v>0</v>
      </c>
      <c r="F40" s="63"/>
      <c r="G40" s="63"/>
      <c r="H40" s="71" t="s">
        <v>77</v>
      </c>
      <c r="I40" s="108"/>
      <c r="J40" s="108"/>
      <c r="K40" s="108"/>
      <c r="L40" s="72">
        <f>SUM(L38:L39)</f>
        <v>0</v>
      </c>
      <c r="M40" s="7"/>
      <c r="N40" s="8">
        <v>39</v>
      </c>
      <c r="O40" s="1" t="s">
        <v>39</v>
      </c>
      <c r="P40" s="84" t="s">
        <v>330</v>
      </c>
      <c r="Q40" s="89" t="s">
        <v>7</v>
      </c>
      <c r="S40" s="1" t="s">
        <v>84</v>
      </c>
      <c r="T40" s="1">
        <f>45/60</f>
        <v>0.75</v>
      </c>
      <c r="U40" s="7">
        <v>25</v>
      </c>
      <c r="V40" s="13">
        <v>45</v>
      </c>
      <c r="W40" s="15">
        <f t="shared" ref="W40:W57" si="12">V40/60</f>
        <v>0.75</v>
      </c>
      <c r="X40" s="7">
        <v>0</v>
      </c>
      <c r="Y40" s="7">
        <v>7.5</v>
      </c>
      <c r="Z40" s="7">
        <f>SUM(X40:Y40)</f>
        <v>7.5</v>
      </c>
      <c r="AA40" s="6" t="s">
        <v>2</v>
      </c>
      <c r="AB40" s="24"/>
      <c r="AC40" s="1" t="s">
        <v>350</v>
      </c>
      <c r="AD40" s="6"/>
      <c r="AE40" s="6"/>
      <c r="AL40" s="6"/>
    </row>
    <row r="41" spans="1:38" ht="15.75" thickTop="1" x14ac:dyDescent="0.25">
      <c r="A41" s="17"/>
      <c r="B41" s="49"/>
      <c r="C41" s="17"/>
      <c r="D41" s="17"/>
      <c r="F41" s="6"/>
      <c r="M41" s="7"/>
      <c r="N41" s="8">
        <v>40</v>
      </c>
      <c r="O41" s="6" t="s">
        <v>464</v>
      </c>
      <c r="P41" s="84" t="s">
        <v>330</v>
      </c>
      <c r="Q41" s="88" t="s">
        <v>7</v>
      </c>
      <c r="S41" s="1" t="s">
        <v>326</v>
      </c>
      <c r="T41" s="1">
        <f>(10+10)/60</f>
        <v>0.33333333333333331</v>
      </c>
      <c r="U41" s="27">
        <v>0</v>
      </c>
      <c r="V41" s="27">
        <v>20</v>
      </c>
      <c r="W41" s="1">
        <f t="shared" si="12"/>
        <v>0.33333333333333331</v>
      </c>
      <c r="X41" s="7">
        <v>0</v>
      </c>
      <c r="Y41" s="7">
        <v>7.5</v>
      </c>
      <c r="Z41" s="7">
        <f t="shared" ref="Z41:Z43" si="13">SUM(X41:Y41)</f>
        <v>7.5</v>
      </c>
      <c r="AA41" s="1" t="s">
        <v>227</v>
      </c>
      <c r="AB41" s="1" t="s">
        <v>466</v>
      </c>
      <c r="AC41" s="1" t="s">
        <v>465</v>
      </c>
      <c r="AD41" s="6"/>
      <c r="AE41" s="6"/>
      <c r="AL41" s="6"/>
    </row>
    <row r="42" spans="1:38" x14ac:dyDescent="0.25">
      <c r="A42" s="17"/>
      <c r="B42" s="49"/>
      <c r="C42" s="17"/>
      <c r="D42" s="17"/>
      <c r="F42" s="7"/>
      <c r="M42" s="7"/>
      <c r="N42" s="8">
        <v>41</v>
      </c>
      <c r="O42" s="1" t="s">
        <v>547</v>
      </c>
      <c r="P42" s="84" t="s">
        <v>330</v>
      </c>
      <c r="Q42" s="88" t="s">
        <v>7</v>
      </c>
      <c r="R42" s="6"/>
      <c r="S42" s="1" t="s">
        <v>84</v>
      </c>
      <c r="T42" s="7">
        <v>4</v>
      </c>
      <c r="U42" s="7">
        <v>100</v>
      </c>
      <c r="V42" s="7">
        <v>40</v>
      </c>
      <c r="W42" s="15">
        <f t="shared" si="12"/>
        <v>0.66666666666666663</v>
      </c>
      <c r="X42" s="7">
        <v>0</v>
      </c>
      <c r="Y42" s="27">
        <v>15</v>
      </c>
      <c r="Z42" s="7">
        <f t="shared" si="13"/>
        <v>15</v>
      </c>
      <c r="AA42" s="6" t="s">
        <v>549</v>
      </c>
      <c r="AB42" s="24"/>
      <c r="AC42" s="1" t="s">
        <v>548</v>
      </c>
      <c r="AD42" s="6"/>
      <c r="AE42" s="6"/>
    </row>
    <row r="43" spans="1:38" x14ac:dyDescent="0.25">
      <c r="A43" s="17"/>
      <c r="B43" s="49"/>
      <c r="C43" s="17"/>
      <c r="D43" s="17"/>
      <c r="F43" s="7"/>
      <c r="M43" s="7"/>
      <c r="N43" s="8">
        <v>42</v>
      </c>
      <c r="O43" s="6" t="s">
        <v>40</v>
      </c>
      <c r="P43" s="84" t="s">
        <v>330</v>
      </c>
      <c r="Q43" s="88" t="s">
        <v>7</v>
      </c>
      <c r="R43" s="6"/>
      <c r="S43" s="6" t="s">
        <v>327</v>
      </c>
      <c r="T43" s="7">
        <v>0.5</v>
      </c>
      <c r="U43" s="7">
        <v>0.5</v>
      </c>
      <c r="V43" s="7">
        <v>30</v>
      </c>
      <c r="W43" s="15">
        <f t="shared" si="12"/>
        <v>0.5</v>
      </c>
      <c r="X43" s="7">
        <v>7.5</v>
      </c>
      <c r="Y43" s="7">
        <v>0</v>
      </c>
      <c r="Z43" s="7">
        <f t="shared" si="13"/>
        <v>7.5</v>
      </c>
      <c r="AA43" s="6" t="s">
        <v>13</v>
      </c>
      <c r="AB43" s="24"/>
      <c r="AC43" s="1" t="s">
        <v>492</v>
      </c>
      <c r="AD43" s="6"/>
      <c r="AE43" s="6"/>
      <c r="AL43" s="7"/>
    </row>
    <row r="44" spans="1:38" x14ac:dyDescent="0.25">
      <c r="A44" s="17"/>
      <c r="B44" s="49"/>
      <c r="C44" s="17"/>
      <c r="D44" s="17"/>
      <c r="F44" s="7"/>
      <c r="M44" s="6"/>
      <c r="N44" s="8">
        <v>43</v>
      </c>
      <c r="O44" s="6" t="s">
        <v>126</v>
      </c>
      <c r="P44" s="84" t="s">
        <v>330</v>
      </c>
      <c r="Q44" s="88" t="s">
        <v>7</v>
      </c>
      <c r="R44" s="6"/>
      <c r="S44" s="1" t="s">
        <v>84</v>
      </c>
      <c r="T44" s="7">
        <v>4</v>
      </c>
      <c r="U44" s="7">
        <v>25</v>
      </c>
      <c r="V44" s="7">
        <v>75</v>
      </c>
      <c r="W44" s="15">
        <f t="shared" si="12"/>
        <v>1.25</v>
      </c>
      <c r="X44" s="7">
        <v>7.5</v>
      </c>
      <c r="Y44" s="27">
        <v>0</v>
      </c>
      <c r="Z44" s="7">
        <f>SUM(X44:Y44)</f>
        <v>7.5</v>
      </c>
      <c r="AA44" s="6" t="s">
        <v>18</v>
      </c>
      <c r="AB44" s="24"/>
      <c r="AC44" s="6" t="s">
        <v>366</v>
      </c>
      <c r="AD44" s="6"/>
      <c r="AE44" s="6"/>
      <c r="AL44" s="7"/>
    </row>
    <row r="45" spans="1:38" x14ac:dyDescent="0.25">
      <c r="A45" s="17"/>
      <c r="B45" s="49"/>
      <c r="C45" s="17"/>
      <c r="D45" s="17"/>
      <c r="F45" s="7"/>
      <c r="M45" s="17"/>
      <c r="N45" s="8">
        <v>44</v>
      </c>
      <c r="O45" s="6" t="s">
        <v>447</v>
      </c>
      <c r="P45" s="6" t="s">
        <v>448</v>
      </c>
      <c r="Q45" s="1" t="s">
        <v>7</v>
      </c>
      <c r="R45" s="27"/>
      <c r="S45" s="6" t="s">
        <v>326</v>
      </c>
      <c r="T45" s="7">
        <f>20/60</f>
        <v>0.33333333333333331</v>
      </c>
      <c r="U45" s="7">
        <v>0.5</v>
      </c>
      <c r="V45" s="27">
        <v>0</v>
      </c>
      <c r="W45" s="15">
        <f t="shared" si="12"/>
        <v>0</v>
      </c>
      <c r="X45" s="7">
        <v>0</v>
      </c>
      <c r="Y45" s="7">
        <v>5</v>
      </c>
      <c r="Z45" s="7">
        <f>SUM(X45:Y45)</f>
        <v>5</v>
      </c>
      <c r="AA45" s="6" t="s">
        <v>3</v>
      </c>
      <c r="AB45" s="1" t="s">
        <v>450</v>
      </c>
      <c r="AC45" s="1" t="s">
        <v>449</v>
      </c>
      <c r="AD45" s="6"/>
      <c r="AE45" s="6"/>
      <c r="AL45" s="7"/>
    </row>
    <row r="46" spans="1:38" x14ac:dyDescent="0.25">
      <c r="A46" s="17"/>
      <c r="B46" s="49"/>
      <c r="C46" s="17"/>
      <c r="D46" s="17"/>
      <c r="F46" s="6"/>
      <c r="M46" s="17"/>
      <c r="N46" s="8">
        <v>45</v>
      </c>
      <c r="O46" s="6" t="s">
        <v>478</v>
      </c>
      <c r="P46" s="7" t="s">
        <v>489</v>
      </c>
      <c r="Q46" s="6" t="s">
        <v>7</v>
      </c>
      <c r="R46" s="6"/>
      <c r="S46" s="6" t="s">
        <v>326</v>
      </c>
      <c r="T46" s="7">
        <f>45/60</f>
        <v>0.75</v>
      </c>
      <c r="U46" s="7">
        <v>0.5</v>
      </c>
      <c r="V46" s="27">
        <v>0</v>
      </c>
      <c r="W46" s="15">
        <f t="shared" si="12"/>
        <v>0</v>
      </c>
      <c r="X46" s="7">
        <v>0</v>
      </c>
      <c r="Y46" s="7">
        <v>7.5</v>
      </c>
      <c r="Z46" s="7">
        <f>SUM(X46:Y46)</f>
        <v>7.5</v>
      </c>
      <c r="AA46" s="6" t="s">
        <v>227</v>
      </c>
      <c r="AB46" s="24"/>
      <c r="AC46" s="1" t="s">
        <v>479</v>
      </c>
      <c r="AD46" s="6"/>
      <c r="AE46" s="6"/>
      <c r="AL46" s="7"/>
    </row>
    <row r="47" spans="1:38" x14ac:dyDescent="0.25">
      <c r="A47" s="17"/>
      <c r="B47" s="49"/>
      <c r="C47" s="17"/>
      <c r="D47" s="17"/>
      <c r="F47" s="18"/>
      <c r="H47" s="6"/>
      <c r="L47" s="48"/>
      <c r="M47" s="18"/>
      <c r="N47" s="8">
        <v>46</v>
      </c>
      <c r="O47" s="6" t="s">
        <v>484</v>
      </c>
      <c r="P47" s="7" t="s">
        <v>489</v>
      </c>
      <c r="Q47" s="6" t="s">
        <v>7</v>
      </c>
      <c r="R47" s="6"/>
      <c r="S47" s="6" t="s">
        <v>326</v>
      </c>
      <c r="T47" s="7">
        <f>60/60</f>
        <v>1</v>
      </c>
      <c r="U47" s="7">
        <v>0.5</v>
      </c>
      <c r="V47" s="27">
        <v>0</v>
      </c>
      <c r="W47" s="15">
        <f t="shared" si="12"/>
        <v>0</v>
      </c>
      <c r="X47" s="7">
        <v>20</v>
      </c>
      <c r="Y47" s="7">
        <v>0</v>
      </c>
      <c r="Z47" s="7">
        <f>SUM(X47:Y47)</f>
        <v>20</v>
      </c>
      <c r="AA47" s="6" t="s">
        <v>227</v>
      </c>
      <c r="AB47" s="1" t="s">
        <v>485</v>
      </c>
      <c r="AC47" s="1" t="s">
        <v>485</v>
      </c>
      <c r="AD47" s="6"/>
      <c r="AE47" s="6"/>
      <c r="AL47" s="6"/>
    </row>
    <row r="48" spans="1:38" x14ac:dyDescent="0.25">
      <c r="A48" s="17"/>
      <c r="B48" s="49"/>
      <c r="C48" s="17"/>
      <c r="D48" s="17"/>
      <c r="F48" s="6"/>
      <c r="G48" s="6"/>
      <c r="H48" s="6"/>
      <c r="I48" s="19"/>
      <c r="K48" s="47"/>
      <c r="L48" s="30"/>
      <c r="M48" s="6"/>
      <c r="N48" s="8">
        <v>47</v>
      </c>
      <c r="O48" s="6" t="s">
        <v>490</v>
      </c>
      <c r="P48" s="7" t="s">
        <v>489</v>
      </c>
      <c r="Q48" s="6" t="s">
        <v>7</v>
      </c>
      <c r="R48" s="6"/>
      <c r="S48" s="6" t="s">
        <v>84</v>
      </c>
      <c r="T48" s="7">
        <v>0</v>
      </c>
      <c r="U48" s="7">
        <v>0.5</v>
      </c>
      <c r="V48" s="27">
        <v>0</v>
      </c>
      <c r="W48" s="15">
        <f t="shared" si="12"/>
        <v>0</v>
      </c>
      <c r="X48" s="7">
        <v>0</v>
      </c>
      <c r="Y48" s="7">
        <v>7.5</v>
      </c>
      <c r="Z48" s="7">
        <f>SUM(X48:Y48)</f>
        <v>7.5</v>
      </c>
      <c r="AA48" s="6" t="s">
        <v>227</v>
      </c>
      <c r="AB48" s="24"/>
      <c r="AC48" s="1" t="s">
        <v>491</v>
      </c>
      <c r="AD48" s="6"/>
      <c r="AE48" s="6"/>
      <c r="AL48" s="6"/>
    </row>
    <row r="49" spans="1:38" x14ac:dyDescent="0.25">
      <c r="A49" s="17"/>
      <c r="B49" s="49"/>
      <c r="C49" s="17"/>
      <c r="D49" s="17"/>
      <c r="F49" s="18"/>
      <c r="G49" s="6"/>
      <c r="H49" s="14"/>
      <c r="I49" s="179"/>
      <c r="J49" s="179"/>
      <c r="K49" s="6"/>
      <c r="L49" s="18"/>
      <c r="M49" s="18"/>
      <c r="N49" s="8">
        <v>48</v>
      </c>
      <c r="O49" s="6" t="s">
        <v>526</v>
      </c>
      <c r="P49" s="7" t="s">
        <v>527</v>
      </c>
      <c r="Q49" s="1" t="s">
        <v>7</v>
      </c>
      <c r="S49" s="1" t="s">
        <v>84</v>
      </c>
      <c r="T49" s="7">
        <v>3</v>
      </c>
      <c r="U49" s="7">
        <v>70</v>
      </c>
      <c r="V49" s="27">
        <v>30</v>
      </c>
      <c r="W49" s="15">
        <f t="shared" si="12"/>
        <v>0.5</v>
      </c>
      <c r="X49" s="7">
        <v>17.5</v>
      </c>
      <c r="Y49" s="7">
        <v>0</v>
      </c>
      <c r="Z49" s="7">
        <f t="shared" ref="Z49" si="14">SUM(X49:Y49)</f>
        <v>17.5</v>
      </c>
      <c r="AA49" s="6" t="s">
        <v>227</v>
      </c>
      <c r="AB49" s="1" t="s">
        <v>529</v>
      </c>
      <c r="AC49" s="1" t="s">
        <v>528</v>
      </c>
      <c r="AD49" s="6"/>
      <c r="AE49" s="6"/>
      <c r="AL49" s="6"/>
    </row>
    <row r="50" spans="1:38" x14ac:dyDescent="0.25">
      <c r="A50" s="17"/>
      <c r="B50" s="49"/>
      <c r="C50" s="17"/>
      <c r="D50" s="17"/>
      <c r="F50" s="6"/>
      <c r="M50" s="18"/>
      <c r="N50" s="8">
        <v>49</v>
      </c>
      <c r="O50" s="6" t="s">
        <v>530</v>
      </c>
      <c r="P50" s="7" t="s">
        <v>527</v>
      </c>
      <c r="Q50" s="1" t="s">
        <v>7</v>
      </c>
      <c r="R50" s="6"/>
      <c r="S50" s="6" t="s">
        <v>84</v>
      </c>
      <c r="T50" s="7">
        <v>1</v>
      </c>
      <c r="U50" s="7">
        <v>70</v>
      </c>
      <c r="V50" s="27">
        <v>10</v>
      </c>
      <c r="W50" s="15">
        <f t="shared" si="12"/>
        <v>0.16666666666666666</v>
      </c>
      <c r="X50" s="7">
        <v>2.5</v>
      </c>
      <c r="Y50" s="7">
        <v>0</v>
      </c>
      <c r="Z50" s="7">
        <f t="shared" ref="Z50:Z51" si="15">SUM(X50:Y50)</f>
        <v>2.5</v>
      </c>
      <c r="AA50" s="6" t="s">
        <v>227</v>
      </c>
      <c r="AB50" s="1" t="s">
        <v>532</v>
      </c>
      <c r="AC50" s="1" t="s">
        <v>474</v>
      </c>
      <c r="AD50" s="6"/>
      <c r="AE50" s="6"/>
      <c r="AL50" s="6"/>
    </row>
    <row r="51" spans="1:38" x14ac:dyDescent="0.25">
      <c r="A51" s="17"/>
      <c r="B51" s="49"/>
      <c r="C51" s="17"/>
      <c r="D51" s="17"/>
      <c r="F51" s="6"/>
      <c r="G51" s="50"/>
      <c r="H51" s="6"/>
      <c r="I51" s="6"/>
      <c r="J51" s="16"/>
      <c r="K51" s="6"/>
      <c r="M51" s="18"/>
      <c r="N51" s="8">
        <v>50</v>
      </c>
      <c r="O51" s="6" t="s">
        <v>530</v>
      </c>
      <c r="P51" s="7" t="s">
        <v>527</v>
      </c>
      <c r="Q51" s="1" t="s">
        <v>7</v>
      </c>
      <c r="R51" s="6"/>
      <c r="S51" s="6" t="s">
        <v>84</v>
      </c>
      <c r="T51" s="7">
        <v>2</v>
      </c>
      <c r="U51" s="7">
        <v>70</v>
      </c>
      <c r="V51" s="27">
        <v>20</v>
      </c>
      <c r="W51" s="15">
        <f t="shared" si="12"/>
        <v>0.33333333333333331</v>
      </c>
      <c r="X51" s="7">
        <v>7.5</v>
      </c>
      <c r="Y51" s="7">
        <v>0</v>
      </c>
      <c r="Z51" s="7">
        <f t="shared" si="15"/>
        <v>7.5</v>
      </c>
      <c r="AA51" s="6" t="s">
        <v>227</v>
      </c>
      <c r="AB51" s="1" t="s">
        <v>531</v>
      </c>
      <c r="AC51" s="1" t="s">
        <v>474</v>
      </c>
      <c r="AD51" s="6"/>
      <c r="AE51" s="6"/>
    </row>
    <row r="52" spans="1:38" x14ac:dyDescent="0.25">
      <c r="A52" s="17"/>
      <c r="B52" s="49"/>
      <c r="C52" s="17"/>
      <c r="D52" s="17"/>
      <c r="F52" s="6"/>
      <c r="G52" s="7"/>
      <c r="H52" s="6"/>
      <c r="I52" s="6"/>
      <c r="J52" s="16"/>
      <c r="K52" s="6"/>
      <c r="L52" s="7"/>
      <c r="M52" s="18"/>
      <c r="N52" s="8">
        <v>51</v>
      </c>
      <c r="O52" s="6" t="s">
        <v>533</v>
      </c>
      <c r="P52" s="7" t="s">
        <v>527</v>
      </c>
      <c r="Q52" s="1" t="s">
        <v>7</v>
      </c>
      <c r="R52" s="6"/>
      <c r="S52" s="6" t="s">
        <v>84</v>
      </c>
      <c r="T52" s="7">
        <v>0</v>
      </c>
      <c r="U52" s="7">
        <v>25</v>
      </c>
      <c r="V52" s="27">
        <v>60</v>
      </c>
      <c r="W52" s="15">
        <f t="shared" si="12"/>
        <v>1</v>
      </c>
      <c r="X52" s="7">
        <v>2.5</v>
      </c>
      <c r="Y52" s="7">
        <v>0</v>
      </c>
      <c r="Z52" s="7">
        <f t="shared" ref="Z52" si="16">SUM(X52:Y52)</f>
        <v>2.5</v>
      </c>
      <c r="AA52" s="6" t="s">
        <v>227</v>
      </c>
      <c r="AB52" s="24"/>
      <c r="AC52" s="1" t="s">
        <v>534</v>
      </c>
      <c r="AD52" s="6"/>
      <c r="AE52" s="6"/>
    </row>
    <row r="53" spans="1:38" x14ac:dyDescent="0.25">
      <c r="A53" s="17"/>
      <c r="B53" s="49"/>
      <c r="C53" s="17"/>
      <c r="D53" s="17"/>
      <c r="F53" s="6"/>
      <c r="G53" s="6"/>
      <c r="H53" s="6"/>
      <c r="I53" s="6"/>
      <c r="J53" s="16"/>
      <c r="K53" s="6"/>
      <c r="L53" s="7"/>
      <c r="M53" s="18"/>
      <c r="N53" s="8">
        <v>52</v>
      </c>
      <c r="O53" s="6" t="s">
        <v>533</v>
      </c>
      <c r="P53" s="7" t="s">
        <v>527</v>
      </c>
      <c r="Q53" s="1" t="s">
        <v>7</v>
      </c>
      <c r="R53" s="6"/>
      <c r="S53" s="6" t="s">
        <v>326</v>
      </c>
      <c r="T53" s="7">
        <v>0.5</v>
      </c>
      <c r="U53" s="7">
        <v>30</v>
      </c>
      <c r="V53" s="27">
        <v>30</v>
      </c>
      <c r="W53" s="15">
        <f t="shared" si="12"/>
        <v>0.5</v>
      </c>
      <c r="X53" s="7">
        <v>12.5</v>
      </c>
      <c r="Y53" s="7">
        <v>0</v>
      </c>
      <c r="Z53" s="7">
        <f t="shared" ref="Z53" si="17">SUM(X53:Y53)</f>
        <v>12.5</v>
      </c>
      <c r="AA53" s="6" t="s">
        <v>227</v>
      </c>
      <c r="AB53" s="1" t="s">
        <v>535</v>
      </c>
      <c r="AC53" s="1" t="s">
        <v>534</v>
      </c>
      <c r="AD53" s="6"/>
      <c r="AE53" s="6"/>
    </row>
    <row r="54" spans="1:38" x14ac:dyDescent="0.25">
      <c r="A54" s="17"/>
      <c r="B54" s="49"/>
      <c r="C54" s="17"/>
      <c r="D54" s="17"/>
      <c r="F54" s="6"/>
      <c r="G54" s="6"/>
      <c r="H54" s="6"/>
      <c r="I54" s="6"/>
      <c r="J54" s="8"/>
      <c r="K54" s="6"/>
      <c r="L54" s="18"/>
      <c r="M54" s="18"/>
      <c r="N54" s="8">
        <v>53</v>
      </c>
      <c r="O54" s="6" t="s">
        <v>536</v>
      </c>
      <c r="P54" s="7" t="s">
        <v>527</v>
      </c>
      <c r="Q54" s="1" t="s">
        <v>7</v>
      </c>
      <c r="R54" s="6"/>
      <c r="S54" s="6" t="s">
        <v>326</v>
      </c>
      <c r="T54" s="109">
        <f>20/60</f>
        <v>0.33333333333333331</v>
      </c>
      <c r="U54" s="7">
        <v>30</v>
      </c>
      <c r="V54" s="27">
        <v>20</v>
      </c>
      <c r="W54" s="15">
        <f t="shared" si="12"/>
        <v>0.33333333333333331</v>
      </c>
      <c r="X54" s="7">
        <v>7.5</v>
      </c>
      <c r="Y54" s="7">
        <v>0</v>
      </c>
      <c r="Z54" s="7">
        <f t="shared" ref="Z54:Z56" si="18">SUM(X54:Y54)</f>
        <v>7.5</v>
      </c>
      <c r="AA54" s="6" t="s">
        <v>227</v>
      </c>
      <c r="AB54" s="1" t="s">
        <v>471</v>
      </c>
      <c r="AC54" s="1" t="s">
        <v>470</v>
      </c>
      <c r="AD54" s="6"/>
      <c r="AE54" s="6"/>
    </row>
    <row r="55" spans="1:38" x14ac:dyDescent="0.25">
      <c r="A55" s="17"/>
      <c r="B55" s="49"/>
      <c r="C55" s="17"/>
      <c r="D55" s="17"/>
      <c r="E55" s="6"/>
      <c r="F55" s="6"/>
      <c r="G55" s="6"/>
      <c r="H55" s="32"/>
      <c r="I55" s="8"/>
      <c r="J55" s="5"/>
      <c r="K55" s="6"/>
      <c r="L55" s="6"/>
      <c r="M55" s="6"/>
      <c r="N55" s="8">
        <v>54</v>
      </c>
      <c r="O55" s="6" t="s">
        <v>537</v>
      </c>
      <c r="P55" s="7" t="s">
        <v>527</v>
      </c>
      <c r="Q55" s="1" t="s">
        <v>7</v>
      </c>
      <c r="R55" s="6"/>
      <c r="S55" s="6" t="s">
        <v>326</v>
      </c>
      <c r="T55" s="109">
        <f>20/60</f>
        <v>0.33333333333333331</v>
      </c>
      <c r="U55" s="7">
        <v>30</v>
      </c>
      <c r="V55" s="27">
        <v>20</v>
      </c>
      <c r="W55" s="15">
        <f t="shared" si="12"/>
        <v>0.33333333333333331</v>
      </c>
      <c r="X55" s="7">
        <v>7.5</v>
      </c>
      <c r="Y55" s="7">
        <v>0</v>
      </c>
      <c r="Z55" s="7">
        <f t="shared" si="18"/>
        <v>7.5</v>
      </c>
      <c r="AA55" s="6" t="s">
        <v>227</v>
      </c>
      <c r="AB55" s="1" t="s">
        <v>466</v>
      </c>
      <c r="AC55" s="1" t="s">
        <v>465</v>
      </c>
      <c r="AD55" s="6"/>
      <c r="AE55" s="6"/>
    </row>
    <row r="56" spans="1:38" x14ac:dyDescent="0.25">
      <c r="B56" s="6"/>
      <c r="C56" s="6"/>
      <c r="D56" s="6"/>
      <c r="E56" s="7"/>
      <c r="F56" s="6"/>
      <c r="G56" s="6"/>
      <c r="H56" s="171"/>
      <c r="I56" s="171"/>
      <c r="J56" s="171"/>
      <c r="K56" s="6"/>
      <c r="L56" s="6"/>
      <c r="M56" s="6"/>
      <c r="N56" s="6">
        <v>55</v>
      </c>
      <c r="O56" s="6" t="s">
        <v>538</v>
      </c>
      <c r="P56" s="7" t="s">
        <v>527</v>
      </c>
      <c r="Q56" s="1" t="s">
        <v>7</v>
      </c>
      <c r="R56" s="6"/>
      <c r="S56" s="6" t="s">
        <v>326</v>
      </c>
      <c r="T56" s="109">
        <f>15/60</f>
        <v>0.25</v>
      </c>
      <c r="U56" s="7">
        <v>30</v>
      </c>
      <c r="V56" s="27">
        <v>15</v>
      </c>
      <c r="W56" s="15">
        <f t="shared" si="12"/>
        <v>0.25</v>
      </c>
      <c r="X56" s="7">
        <v>7.5</v>
      </c>
      <c r="Y56" s="7">
        <v>0</v>
      </c>
      <c r="Z56" s="7">
        <f t="shared" si="18"/>
        <v>7.5</v>
      </c>
      <c r="AA56" s="6" t="s">
        <v>227</v>
      </c>
      <c r="AB56" s="1" t="s">
        <v>540</v>
      </c>
      <c r="AC56" s="1" t="s">
        <v>539</v>
      </c>
      <c r="AD56" s="6"/>
      <c r="AE56" s="6"/>
      <c r="AL56" s="6"/>
    </row>
    <row r="57" spans="1:38" x14ac:dyDescent="0.25">
      <c r="A57" s="17"/>
      <c r="B57" s="49"/>
      <c r="C57" s="17"/>
      <c r="D57" s="17"/>
      <c r="E57" s="7"/>
      <c r="F57" s="6"/>
      <c r="G57" s="6"/>
      <c r="H57" s="32"/>
      <c r="I57" s="14"/>
      <c r="J57" s="22"/>
      <c r="K57" s="6"/>
      <c r="L57" s="6"/>
      <c r="M57" s="6"/>
      <c r="N57" s="6">
        <v>56</v>
      </c>
      <c r="O57" s="6" t="s">
        <v>541</v>
      </c>
      <c r="P57" s="7" t="s">
        <v>527</v>
      </c>
      <c r="Q57" s="1" t="s">
        <v>7</v>
      </c>
      <c r="R57" s="6"/>
      <c r="S57" s="6" t="s">
        <v>542</v>
      </c>
      <c r="T57" s="109">
        <f>60/60</f>
        <v>1</v>
      </c>
      <c r="U57" s="7">
        <v>30</v>
      </c>
      <c r="V57" s="27">
        <v>240</v>
      </c>
      <c r="W57" s="15">
        <f t="shared" si="12"/>
        <v>4</v>
      </c>
      <c r="X57" s="7">
        <v>60</v>
      </c>
      <c r="Y57" s="7">
        <v>0</v>
      </c>
      <c r="Z57" s="7">
        <f t="shared" ref="Z57" si="19">SUM(X57:Y57)</f>
        <v>60</v>
      </c>
      <c r="AA57" s="6" t="s">
        <v>227</v>
      </c>
      <c r="AB57" s="1" t="s">
        <v>488</v>
      </c>
      <c r="AC57" s="1" t="s">
        <v>487</v>
      </c>
      <c r="AD57" s="6"/>
      <c r="AE57" s="6"/>
      <c r="AL57" s="6"/>
    </row>
    <row r="58" spans="1:38" x14ac:dyDescent="0.25">
      <c r="A58" s="17"/>
      <c r="B58" s="49"/>
      <c r="C58" s="17"/>
      <c r="D58" s="17"/>
      <c r="E58" s="7"/>
      <c r="F58" s="6"/>
      <c r="G58" s="6"/>
      <c r="H58" s="171"/>
      <c r="I58" s="171"/>
      <c r="J58" s="171"/>
      <c r="K58" s="6"/>
      <c r="L58" s="6"/>
      <c r="M58" s="6"/>
      <c r="N58" s="6">
        <v>57</v>
      </c>
      <c r="AD58" s="6"/>
      <c r="AE58" s="6"/>
      <c r="AL58" s="6"/>
    </row>
    <row r="59" spans="1:38" x14ac:dyDescent="0.25">
      <c r="A59" s="17"/>
      <c r="B59" s="49"/>
      <c r="C59" s="17"/>
      <c r="D59" s="17"/>
      <c r="E59" s="7"/>
      <c r="F59" s="6"/>
      <c r="G59" s="7"/>
      <c r="H59" s="24"/>
      <c r="K59" s="6"/>
      <c r="L59" s="6"/>
      <c r="M59" s="6"/>
      <c r="N59" s="6">
        <v>58</v>
      </c>
      <c r="AD59" s="6"/>
      <c r="AE59" s="6"/>
      <c r="AL59" s="6"/>
    </row>
    <row r="60" spans="1:38" x14ac:dyDescent="0.25">
      <c r="B60" s="6"/>
      <c r="C60" s="6"/>
      <c r="D60" s="6"/>
      <c r="E60" s="7"/>
      <c r="F60" s="6"/>
      <c r="G60" s="7"/>
      <c r="H60" s="46"/>
      <c r="I60"/>
      <c r="J60"/>
      <c r="K60" s="31"/>
      <c r="L60" s="31"/>
      <c r="M60"/>
      <c r="N60" s="6">
        <v>59</v>
      </c>
      <c r="AD60" s="6"/>
      <c r="AE60" s="6"/>
      <c r="AL60" s="6"/>
    </row>
    <row r="61" spans="1:38" x14ac:dyDescent="0.25">
      <c r="F61" s="6"/>
      <c r="G61" s="6"/>
      <c r="H61" s="14"/>
      <c r="I61" s="14"/>
      <c r="J61" s="22"/>
      <c r="M61" s="6"/>
      <c r="N61" s="6">
        <v>60</v>
      </c>
      <c r="AD61" s="6"/>
      <c r="AE61" s="6"/>
      <c r="AL61" s="6"/>
    </row>
    <row r="62" spans="1:38" x14ac:dyDescent="0.25">
      <c r="C62" s="6"/>
      <c r="D62" s="6"/>
      <c r="E62" s="6"/>
      <c r="F62" s="6"/>
      <c r="G62" s="6"/>
      <c r="H62" s="14"/>
      <c r="I62" s="14"/>
      <c r="J62" s="22"/>
      <c r="K62" s="6"/>
      <c r="L62" s="18"/>
      <c r="M62" s="14"/>
      <c r="N62">
        <v>61</v>
      </c>
      <c r="AD62" s="6"/>
      <c r="AE62" s="6"/>
      <c r="AL62" s="6"/>
    </row>
    <row r="63" spans="1:38" x14ac:dyDescent="0.25">
      <c r="M63" s="6"/>
      <c r="N63" s="6">
        <v>62</v>
      </c>
      <c r="AD63" s="6"/>
      <c r="AE63" s="6"/>
      <c r="AL63" s="6"/>
    </row>
    <row r="64" spans="1:38" x14ac:dyDescent="0.25">
      <c r="A64" s="6"/>
      <c r="C64" s="6"/>
      <c r="D64" s="6"/>
      <c r="E64" s="6"/>
      <c r="F64" s="6"/>
      <c r="G64" s="6"/>
      <c r="H64" s="34"/>
      <c r="I64" s="14"/>
      <c r="J64" s="22"/>
      <c r="K64" s="6"/>
      <c r="L64" s="18"/>
      <c r="M64" s="14"/>
      <c r="N64" s="6">
        <v>63</v>
      </c>
      <c r="AD64" s="6"/>
      <c r="AE64" s="6"/>
      <c r="AL64" s="6"/>
    </row>
    <row r="65" spans="1:38" x14ac:dyDescent="0.25">
      <c r="A65" s="6"/>
      <c r="B65" s="6"/>
      <c r="C65" s="6"/>
      <c r="D65" s="6"/>
      <c r="E65" s="6"/>
      <c r="F65" s="6"/>
      <c r="G65" s="6"/>
      <c r="H65" s="14"/>
      <c r="I65" s="14"/>
      <c r="J65" s="14"/>
      <c r="K65" s="14"/>
      <c r="L65" s="14"/>
      <c r="M65" s="14"/>
      <c r="N65" s="6">
        <v>64</v>
      </c>
      <c r="P65" s="6"/>
      <c r="Q65" s="6"/>
      <c r="R65" s="6"/>
      <c r="T65" s="7"/>
      <c r="U65" s="7"/>
      <c r="V65" s="7"/>
      <c r="W65" s="15"/>
      <c r="X65" s="7"/>
      <c r="Y65" s="27"/>
      <c r="Z65" s="7"/>
      <c r="AA65" s="6"/>
      <c r="AB65" s="24"/>
      <c r="AC65" s="6"/>
      <c r="AD65" s="6"/>
      <c r="AE65" s="6"/>
      <c r="AL65" s="6"/>
    </row>
    <row r="66" spans="1:38" x14ac:dyDescent="0.25">
      <c r="A66" s="6"/>
      <c r="B66" s="6"/>
      <c r="C66" s="6"/>
      <c r="D66" s="6"/>
      <c r="E66" s="6"/>
      <c r="F66" s="6"/>
      <c r="G66" s="6"/>
      <c r="H66" s="14"/>
      <c r="I66" s="14"/>
      <c r="J66" s="14"/>
      <c r="K66" s="14"/>
      <c r="L66" s="14"/>
      <c r="M66" s="14"/>
      <c r="N66" s="6">
        <v>65</v>
      </c>
      <c r="O66" s="6"/>
      <c r="P66" s="6"/>
      <c r="Q66" s="6"/>
      <c r="R66" s="6"/>
      <c r="S66" s="6"/>
      <c r="T66" s="7"/>
      <c r="U66" s="7"/>
      <c r="V66" s="7"/>
      <c r="W66" s="15"/>
      <c r="X66" s="7"/>
      <c r="Y66" s="7"/>
      <c r="Z66" s="7"/>
      <c r="AA66" s="6"/>
      <c r="AB66" s="24"/>
      <c r="AC66" s="6"/>
      <c r="AD66" s="6"/>
      <c r="AE66" s="6"/>
      <c r="AL66" s="6"/>
    </row>
    <row r="67" spans="1:38" x14ac:dyDescent="0.25">
      <c r="A67" s="6"/>
      <c r="B67" s="6"/>
      <c r="C67" s="6"/>
      <c r="D67" s="6"/>
      <c r="E67" s="6"/>
      <c r="F67" s="6"/>
      <c r="G67" s="6"/>
      <c r="H67" s="14"/>
      <c r="I67" s="14"/>
      <c r="J67" s="14"/>
      <c r="K67" s="14"/>
      <c r="L67" s="14"/>
      <c r="N67" s="6">
        <v>66</v>
      </c>
      <c r="O67" s="6"/>
      <c r="P67" s="6"/>
      <c r="Q67" s="6"/>
      <c r="R67" s="6"/>
      <c r="S67" s="6"/>
      <c r="T67" s="24"/>
      <c r="U67" s="13"/>
      <c r="V67" s="13"/>
      <c r="W67" s="15"/>
      <c r="X67" s="7"/>
      <c r="Y67" s="13"/>
      <c r="Z67" s="7"/>
      <c r="AA67" s="6"/>
      <c r="AB67" s="24"/>
      <c r="AL67" s="6"/>
    </row>
    <row r="68" spans="1:38" x14ac:dyDescent="0.25">
      <c r="A68" s="6"/>
      <c r="B68" s="6"/>
      <c r="C68" s="6"/>
      <c r="D68" s="6"/>
      <c r="E68" s="6"/>
      <c r="F68" s="6"/>
      <c r="G68" s="6"/>
      <c r="H68" s="14"/>
      <c r="I68" s="14"/>
      <c r="J68" s="14"/>
      <c r="K68" s="14"/>
      <c r="L68" s="14"/>
      <c r="N68" s="1">
        <v>67</v>
      </c>
      <c r="O68" s="6"/>
      <c r="P68" s="6"/>
      <c r="Q68" s="6"/>
      <c r="R68" s="6"/>
      <c r="S68" s="6"/>
      <c r="T68" s="7"/>
      <c r="U68" s="7"/>
      <c r="V68" s="7"/>
      <c r="W68" s="15"/>
      <c r="X68" s="7"/>
      <c r="Y68" s="7"/>
      <c r="Z68" s="7"/>
      <c r="AA68" s="6"/>
      <c r="AB68" s="24"/>
      <c r="AL68" s="6"/>
    </row>
    <row r="69" spans="1:38" x14ac:dyDescent="0.25">
      <c r="A69" s="6"/>
      <c r="B69" s="6"/>
      <c r="C69" s="6"/>
      <c r="D69" s="6"/>
      <c r="E69" s="6"/>
      <c r="F69" s="6"/>
      <c r="G69" s="6"/>
      <c r="H69" s="14"/>
      <c r="I69" s="14"/>
      <c r="J69" s="14"/>
      <c r="K69" s="14"/>
      <c r="L69" s="14"/>
      <c r="N69" s="1">
        <v>68</v>
      </c>
      <c r="O69" s="6"/>
      <c r="P69" s="6"/>
      <c r="Q69" s="6"/>
      <c r="R69" s="6"/>
      <c r="S69" s="6"/>
      <c r="T69" s="7"/>
      <c r="U69" s="7"/>
      <c r="V69" s="7"/>
      <c r="W69" s="15"/>
      <c r="X69" s="7"/>
      <c r="Y69" s="7"/>
      <c r="Z69" s="7"/>
      <c r="AA69" s="6"/>
      <c r="AB69" s="24"/>
      <c r="AL69" s="6"/>
    </row>
    <row r="70" spans="1:38" x14ac:dyDescent="0.25">
      <c r="A70" s="6"/>
      <c r="B70" s="6"/>
      <c r="C70" s="6"/>
      <c r="D70" s="6"/>
      <c r="E70" s="6"/>
      <c r="F70" s="6"/>
      <c r="G70" s="6"/>
      <c r="H70" s="14"/>
      <c r="I70" s="14"/>
      <c r="J70" s="14"/>
      <c r="K70" s="14"/>
      <c r="L70" s="14"/>
      <c r="N70" s="1">
        <v>69</v>
      </c>
      <c r="O70" s="6"/>
      <c r="P70" s="6"/>
      <c r="Q70" s="6"/>
      <c r="R70" s="6"/>
      <c r="S70" s="6"/>
      <c r="T70" s="7"/>
      <c r="U70" s="7"/>
      <c r="V70" s="7"/>
      <c r="W70" s="15"/>
      <c r="X70" s="7"/>
      <c r="Y70" s="7"/>
      <c r="Z70" s="7"/>
      <c r="AA70" s="6"/>
      <c r="AB70" s="24"/>
      <c r="AL70" s="6"/>
    </row>
    <row r="71" spans="1:38" x14ac:dyDescent="0.25">
      <c r="A71" s="6"/>
      <c r="B71" s="6"/>
      <c r="C71" s="6"/>
      <c r="D71" s="6"/>
      <c r="E71" s="6"/>
      <c r="F71" s="6"/>
      <c r="G71" s="6"/>
      <c r="H71" s="14"/>
      <c r="I71" s="14"/>
      <c r="J71" s="14"/>
      <c r="K71" s="14"/>
      <c r="L71" s="14"/>
      <c r="N71" s="1">
        <v>70</v>
      </c>
      <c r="O71" s="6"/>
      <c r="P71" s="6"/>
      <c r="Q71" s="6"/>
      <c r="R71" s="6"/>
      <c r="S71" s="6"/>
      <c r="T71" s="7"/>
      <c r="U71" s="7"/>
      <c r="V71" s="7"/>
      <c r="W71" s="15"/>
      <c r="X71" s="7"/>
      <c r="Y71" s="7"/>
      <c r="Z71" s="7"/>
      <c r="AA71" s="6"/>
      <c r="AB71" s="24"/>
    </row>
    <row r="72" spans="1:38" x14ac:dyDescent="0.25">
      <c r="A72" s="6"/>
      <c r="B72" s="6"/>
      <c r="C72" s="6"/>
      <c r="D72" s="6"/>
      <c r="E72" s="6"/>
      <c r="F72" s="6"/>
      <c r="G72" s="6"/>
      <c r="H72" s="14"/>
      <c r="I72" s="14"/>
      <c r="J72" s="14"/>
      <c r="K72" s="14"/>
      <c r="L72" s="14"/>
      <c r="N72" s="1">
        <v>71</v>
      </c>
      <c r="P72" s="6"/>
      <c r="T72" s="27"/>
      <c r="U72" s="27"/>
      <c r="V72" s="27"/>
      <c r="W72" s="15"/>
      <c r="X72" s="27"/>
      <c r="Y72" s="27"/>
      <c r="Z72" s="7"/>
      <c r="AA72" s="6"/>
      <c r="AB72" s="24"/>
      <c r="AL72" s="6"/>
    </row>
    <row r="73" spans="1:38" x14ac:dyDescent="0.25">
      <c r="A73" s="6"/>
      <c r="B73" s="6"/>
      <c r="C73" s="6"/>
      <c r="D73" s="6"/>
      <c r="E73" s="6"/>
      <c r="F73" s="6"/>
      <c r="G73" s="6"/>
      <c r="H73" s="14"/>
      <c r="I73" s="14"/>
      <c r="J73" s="14"/>
      <c r="K73" s="14"/>
      <c r="L73" s="14"/>
      <c r="N73" s="1">
        <v>72</v>
      </c>
      <c r="O73" s="6"/>
      <c r="P73" s="6"/>
      <c r="Q73" s="6"/>
      <c r="R73" s="6"/>
      <c r="T73" s="7"/>
      <c r="U73" s="7"/>
      <c r="V73" s="27"/>
      <c r="W73" s="15"/>
      <c r="X73" s="6"/>
      <c r="Y73" s="7"/>
      <c r="Z73" s="7"/>
      <c r="AA73" s="6"/>
      <c r="AB73" s="24"/>
    </row>
    <row r="74" spans="1:38" x14ac:dyDescent="0.25">
      <c r="A74" s="6"/>
      <c r="B74" s="6"/>
      <c r="C74" s="6"/>
      <c r="D74" s="6"/>
      <c r="E74" s="6"/>
      <c r="F74" s="6"/>
      <c r="G74" s="6"/>
      <c r="H74" s="14"/>
      <c r="I74" s="14"/>
      <c r="J74" s="14"/>
      <c r="K74" s="14"/>
      <c r="L74" s="14"/>
      <c r="N74" s="1">
        <v>73</v>
      </c>
      <c r="P74" s="6"/>
      <c r="T74" s="27"/>
      <c r="U74" s="27"/>
      <c r="V74" s="27"/>
      <c r="W74" s="15"/>
      <c r="X74" s="7"/>
      <c r="Y74" s="27"/>
      <c r="Z74" s="7"/>
      <c r="AA74" s="6"/>
      <c r="AB74" s="24"/>
    </row>
    <row r="75" spans="1:38" x14ac:dyDescent="0.25">
      <c r="A75" s="6"/>
      <c r="B75" s="6"/>
      <c r="C75" s="6"/>
      <c r="D75" s="6"/>
      <c r="E75" s="6"/>
      <c r="F75" s="6"/>
      <c r="G75" s="6"/>
      <c r="H75" s="14"/>
      <c r="I75" s="14"/>
      <c r="J75" s="14"/>
      <c r="K75" s="14"/>
      <c r="L75" s="14"/>
      <c r="N75" s="1">
        <v>74</v>
      </c>
      <c r="P75" s="6"/>
      <c r="T75" s="24"/>
      <c r="U75" s="7"/>
      <c r="V75" s="24"/>
      <c r="W75" s="15"/>
      <c r="X75" s="7"/>
      <c r="Y75" s="27"/>
      <c r="Z75" s="7"/>
      <c r="AA75" s="6"/>
      <c r="AB75" s="24"/>
      <c r="AL75" s="6"/>
    </row>
    <row r="76" spans="1:38" x14ac:dyDescent="0.25">
      <c r="A76" s="6"/>
      <c r="B76" s="6"/>
      <c r="C76" s="6"/>
      <c r="D76" s="6"/>
      <c r="E76" s="6"/>
      <c r="F76" s="6"/>
      <c r="G76" s="6"/>
      <c r="H76" s="14"/>
      <c r="I76" s="14"/>
      <c r="J76" s="14"/>
      <c r="K76" s="14"/>
      <c r="L76" s="14"/>
      <c r="N76" s="1">
        <v>75</v>
      </c>
      <c r="O76" s="6"/>
      <c r="P76" s="6"/>
      <c r="Q76" s="6"/>
      <c r="R76" s="6"/>
      <c r="S76" s="6"/>
      <c r="T76" s="7"/>
      <c r="U76" s="7"/>
      <c r="V76" s="7"/>
      <c r="W76" s="15"/>
      <c r="X76" s="7"/>
      <c r="Y76" s="7"/>
      <c r="Z76" s="7"/>
      <c r="AA76" s="6"/>
      <c r="AB76" s="24"/>
      <c r="AL76" s="6"/>
    </row>
    <row r="77" spans="1:38" x14ac:dyDescent="0.25">
      <c r="A77" s="6"/>
      <c r="B77" s="6"/>
      <c r="C77" s="6"/>
      <c r="D77" s="6"/>
      <c r="E77" s="6"/>
      <c r="F77" s="6"/>
      <c r="G77" s="6"/>
      <c r="H77" s="14"/>
      <c r="I77" s="14"/>
      <c r="J77" s="14"/>
      <c r="K77" s="14"/>
      <c r="L77" s="14"/>
      <c r="N77" s="1">
        <v>76</v>
      </c>
      <c r="O77" s="6"/>
      <c r="P77" s="6"/>
      <c r="Q77" s="6"/>
      <c r="R77" s="6"/>
      <c r="S77" s="6"/>
      <c r="T77" s="7"/>
      <c r="U77" s="7"/>
      <c r="V77" s="7"/>
      <c r="W77" s="15"/>
      <c r="X77" s="7"/>
      <c r="Y77" s="7"/>
      <c r="Z77" s="7"/>
      <c r="AA77" s="6"/>
      <c r="AB77" s="24"/>
      <c r="AL77" s="6"/>
    </row>
    <row r="78" spans="1:38" x14ac:dyDescent="0.25">
      <c r="A78" s="6"/>
      <c r="B78" s="6"/>
      <c r="C78" s="6"/>
      <c r="D78" s="6"/>
      <c r="E78" s="6"/>
      <c r="F78" s="6"/>
      <c r="G78" s="6"/>
      <c r="H78" s="14"/>
      <c r="I78" s="14"/>
      <c r="J78" s="14"/>
      <c r="K78" s="14"/>
      <c r="L78" s="14"/>
      <c r="N78" s="1">
        <v>77</v>
      </c>
      <c r="O78" s="6"/>
      <c r="P78" s="6"/>
      <c r="Q78" s="6"/>
      <c r="R78" s="6"/>
      <c r="S78" s="6"/>
      <c r="T78" s="7"/>
      <c r="U78" s="7"/>
      <c r="V78" s="7"/>
      <c r="W78" s="15"/>
      <c r="X78" s="7"/>
      <c r="Y78" s="7"/>
      <c r="Z78" s="7"/>
      <c r="AA78" s="6"/>
      <c r="AB78" s="24"/>
      <c r="AL78" s="6"/>
    </row>
    <row r="79" spans="1:38" x14ac:dyDescent="0.25">
      <c r="N79" s="1">
        <v>78</v>
      </c>
      <c r="O79" s="6"/>
      <c r="P79" s="6"/>
      <c r="Q79" s="6"/>
      <c r="R79" s="6"/>
      <c r="T79" s="13"/>
      <c r="U79" s="7"/>
      <c r="V79" s="13"/>
      <c r="W79" s="15"/>
      <c r="X79" s="7"/>
      <c r="Y79" s="7"/>
      <c r="Z79" s="7"/>
      <c r="AA79" s="6"/>
      <c r="AB79" s="24"/>
      <c r="AL79" s="6"/>
    </row>
    <row r="80" spans="1:38" x14ac:dyDescent="0.25">
      <c r="N80" s="1">
        <v>79</v>
      </c>
      <c r="O80" s="6"/>
      <c r="P80" s="6"/>
      <c r="Q80" s="6"/>
      <c r="R80" s="6"/>
      <c r="S80" s="6"/>
      <c r="T80" s="7"/>
      <c r="U80" s="7"/>
      <c r="V80" s="7"/>
      <c r="W80" s="15"/>
      <c r="X80" s="7"/>
      <c r="Y80" s="7"/>
      <c r="Z80" s="7"/>
      <c r="AA80" s="6"/>
      <c r="AB80" s="24"/>
      <c r="AL80" s="6"/>
    </row>
    <row r="81" spans="2:38" x14ac:dyDescent="0.25">
      <c r="N81" s="1">
        <v>80</v>
      </c>
      <c r="O81" s="6"/>
      <c r="P81" s="6"/>
      <c r="Q81" s="6"/>
      <c r="R81" s="6"/>
      <c r="S81" s="6"/>
      <c r="T81" s="7"/>
      <c r="U81" s="7"/>
      <c r="V81" s="7"/>
      <c r="W81" s="15"/>
      <c r="X81" s="7"/>
      <c r="Y81" s="7"/>
      <c r="Z81" s="7"/>
      <c r="AA81" s="6"/>
      <c r="AB81" s="24"/>
      <c r="AL81" s="6"/>
    </row>
    <row r="82" spans="2:38" x14ac:dyDescent="0.25">
      <c r="N82" s="1">
        <v>81</v>
      </c>
      <c r="O82" s="6"/>
      <c r="P82" s="6"/>
      <c r="Q82" s="6"/>
      <c r="R82" s="6"/>
      <c r="S82" s="6"/>
      <c r="T82" s="7"/>
      <c r="U82" s="7"/>
      <c r="V82" s="7"/>
      <c r="W82" s="15"/>
      <c r="X82" s="7"/>
      <c r="Y82" s="7"/>
      <c r="Z82" s="7"/>
      <c r="AA82" s="6"/>
      <c r="AB82" s="24"/>
      <c r="AL82" s="6"/>
    </row>
    <row r="83" spans="2:38" x14ac:dyDescent="0.25">
      <c r="N83" s="1">
        <v>82</v>
      </c>
      <c r="O83" s="6"/>
      <c r="P83" s="6"/>
      <c r="Q83" s="6"/>
      <c r="R83" s="6"/>
      <c r="S83" s="6"/>
      <c r="T83" s="7"/>
      <c r="U83" s="7"/>
      <c r="V83" s="7"/>
      <c r="W83" s="15"/>
      <c r="X83" s="7"/>
      <c r="Y83" s="7"/>
      <c r="Z83" s="7"/>
      <c r="AA83" s="6"/>
      <c r="AB83" s="24"/>
      <c r="AL83" s="6"/>
    </row>
    <row r="84" spans="2:38" x14ac:dyDescent="0.25">
      <c r="N84" s="1">
        <v>83</v>
      </c>
      <c r="O84" s="6"/>
      <c r="P84" s="6"/>
      <c r="Q84" s="6"/>
      <c r="R84" s="6"/>
      <c r="S84" s="6"/>
      <c r="T84" s="6"/>
      <c r="U84" s="6"/>
      <c r="V84" s="6"/>
      <c r="W84" s="6"/>
      <c r="X84" s="6"/>
      <c r="Y84" s="6"/>
      <c r="Z84" s="6"/>
      <c r="AA84" s="6"/>
      <c r="AB84" s="24"/>
      <c r="AL84" s="6"/>
    </row>
    <row r="85" spans="2:38" x14ac:dyDescent="0.25">
      <c r="N85" s="1">
        <v>84</v>
      </c>
      <c r="O85" s="6"/>
      <c r="P85" s="6"/>
      <c r="Q85" s="6"/>
      <c r="R85" s="6"/>
      <c r="S85" s="6"/>
      <c r="T85" s="6"/>
      <c r="U85" s="6"/>
      <c r="V85" s="6"/>
      <c r="W85" s="6"/>
      <c r="X85" s="6"/>
      <c r="Y85" s="6"/>
      <c r="Z85" s="6"/>
      <c r="AA85" s="6"/>
      <c r="AB85" s="24"/>
    </row>
    <row r="86" spans="2:38" x14ac:dyDescent="0.25">
      <c r="N86" s="1">
        <v>85</v>
      </c>
      <c r="O86" s="6"/>
      <c r="P86" s="6"/>
      <c r="Q86" s="6"/>
      <c r="R86" s="6"/>
      <c r="S86" s="6"/>
      <c r="T86" s="6"/>
      <c r="U86" s="6"/>
      <c r="V86" s="6"/>
      <c r="W86" s="6"/>
      <c r="X86" s="6"/>
      <c r="Y86" s="6"/>
      <c r="Z86" s="6"/>
      <c r="AA86" s="6"/>
      <c r="AB86" s="24"/>
    </row>
    <row r="87" spans="2:38" x14ac:dyDescent="0.25">
      <c r="O87" s="6" t="s">
        <v>19</v>
      </c>
      <c r="P87" s="6"/>
      <c r="Q87" s="6"/>
      <c r="R87" s="6"/>
      <c r="S87" s="6"/>
      <c r="T87" s="6"/>
      <c r="U87" s="6"/>
      <c r="V87" s="6"/>
      <c r="W87" s="6"/>
      <c r="X87" s="6"/>
      <c r="Y87" s="6"/>
      <c r="Z87" s="6"/>
      <c r="AA87" s="6"/>
    </row>
    <row r="88" spans="2:38" x14ac:dyDescent="0.25">
      <c r="B88" s="4"/>
      <c r="C88" s="4"/>
      <c r="D88" s="4"/>
      <c r="E88" s="4"/>
      <c r="F88" s="4"/>
      <c r="G88" s="4"/>
      <c r="H88" s="4"/>
      <c r="I88" s="4"/>
      <c r="J88" s="4"/>
      <c r="K88" s="4"/>
      <c r="L88" s="4"/>
      <c r="M88" s="4"/>
      <c r="O88" s="24" t="s">
        <v>20</v>
      </c>
      <c r="P88" s="6"/>
      <c r="Q88" s="6"/>
      <c r="R88" s="6"/>
      <c r="S88" s="6"/>
      <c r="T88" s="6"/>
      <c r="U88" s="6"/>
      <c r="V88" s="6"/>
      <c r="W88" s="6"/>
      <c r="X88" s="6"/>
      <c r="Y88" s="6"/>
      <c r="Z88" s="31" t="s">
        <v>21</v>
      </c>
      <c r="AA88" s="31"/>
    </row>
    <row r="89" spans="2:38" x14ac:dyDescent="0.25">
      <c r="B89" s="4"/>
      <c r="C89" s="4"/>
      <c r="D89" s="4"/>
      <c r="E89" s="4"/>
      <c r="F89" s="4"/>
      <c r="G89" s="4"/>
      <c r="H89" s="4"/>
      <c r="I89" s="4"/>
      <c r="J89" s="4"/>
      <c r="K89" s="4"/>
      <c r="L89" s="4"/>
      <c r="M89" s="4"/>
      <c r="N89" s="4"/>
      <c r="P89" s="6"/>
      <c r="S89" s="6"/>
      <c r="T89" s="6"/>
      <c r="U89" s="6"/>
      <c r="V89" s="6"/>
      <c r="W89" s="6"/>
      <c r="X89" s="6"/>
      <c r="Y89" s="6"/>
      <c r="Z89" s="6"/>
      <c r="AA89" s="6"/>
    </row>
    <row r="90" spans="2:38" x14ac:dyDescent="0.25">
      <c r="B90" s="4"/>
      <c r="C90" s="4"/>
      <c r="D90" s="4"/>
      <c r="E90" s="4"/>
      <c r="F90" s="4"/>
      <c r="G90" s="4"/>
      <c r="H90" s="4"/>
      <c r="I90" s="4"/>
      <c r="J90" s="4"/>
      <c r="K90" s="4"/>
      <c r="L90" s="4"/>
      <c r="M90" s="4"/>
      <c r="N90" s="4"/>
      <c r="O90" s="6"/>
      <c r="P90" s="6"/>
      <c r="Q90" s="6"/>
      <c r="R90" s="6"/>
      <c r="S90" s="6"/>
      <c r="T90" s="6"/>
      <c r="U90" s="6"/>
      <c r="V90" s="6"/>
      <c r="W90" s="6"/>
      <c r="X90" s="6"/>
      <c r="Y90" s="6"/>
      <c r="Z90" s="6"/>
      <c r="AA90" s="6"/>
    </row>
    <row r="91" spans="2:38" x14ac:dyDescent="0.25">
      <c r="B91" s="4"/>
      <c r="C91" s="4"/>
      <c r="D91" s="4"/>
      <c r="E91" s="4"/>
      <c r="F91" s="4"/>
      <c r="G91" s="4"/>
      <c r="H91" s="4"/>
      <c r="I91" s="4"/>
      <c r="J91" s="4"/>
      <c r="K91" s="4"/>
      <c r="L91" s="4"/>
      <c r="M91" s="4"/>
      <c r="N91" s="4"/>
      <c r="O91" s="6"/>
      <c r="P91" s="6"/>
      <c r="Q91" s="6"/>
      <c r="R91" s="6"/>
      <c r="S91" s="6"/>
      <c r="T91" s="6"/>
      <c r="U91" s="6"/>
      <c r="V91" s="6"/>
      <c r="W91" s="6"/>
      <c r="X91" s="6"/>
      <c r="Y91" s="6"/>
      <c r="Z91" s="6"/>
      <c r="AA91" s="6"/>
    </row>
    <row r="92" spans="2:38" x14ac:dyDescent="0.25">
      <c r="B92" s="4"/>
      <c r="C92" s="4"/>
      <c r="D92" s="4"/>
      <c r="E92" s="4"/>
      <c r="F92" s="4"/>
      <c r="G92" s="4"/>
      <c r="H92" s="4"/>
      <c r="I92" s="4"/>
      <c r="J92" s="4"/>
      <c r="K92" s="4"/>
      <c r="L92" s="4"/>
      <c r="M92" s="4"/>
      <c r="N92" s="4"/>
      <c r="O92" s="6"/>
      <c r="P92" s="6"/>
      <c r="Q92" s="6"/>
      <c r="R92" s="6"/>
      <c r="S92" s="6"/>
      <c r="T92" s="7"/>
      <c r="U92" s="7"/>
      <c r="V92" s="7"/>
      <c r="W92" s="15"/>
      <c r="X92" s="7"/>
      <c r="Y92" s="7"/>
      <c r="Z92" s="7"/>
      <c r="AA92" s="6"/>
    </row>
    <row r="93" spans="2:38" x14ac:dyDescent="0.25">
      <c r="B93" s="4"/>
      <c r="C93" s="4"/>
      <c r="D93" s="4"/>
      <c r="E93" s="4"/>
      <c r="F93" s="4"/>
      <c r="G93" s="4"/>
      <c r="H93" s="4"/>
      <c r="I93" s="4"/>
      <c r="J93" s="4"/>
      <c r="K93" s="4"/>
      <c r="L93" s="4"/>
      <c r="M93" s="4"/>
      <c r="N93" s="4"/>
      <c r="O93" s="6"/>
      <c r="P93" s="6"/>
      <c r="Q93" s="6"/>
      <c r="R93" s="6"/>
      <c r="S93" s="6"/>
      <c r="T93" s="7"/>
      <c r="U93" s="7"/>
      <c r="V93" s="7"/>
      <c r="W93" s="15"/>
      <c r="X93" s="7"/>
      <c r="Y93" s="7"/>
      <c r="Z93" s="7"/>
      <c r="AA93" s="6"/>
    </row>
    <row r="94" spans="2:38" x14ac:dyDescent="0.25">
      <c r="B94" s="4"/>
      <c r="C94" s="4"/>
      <c r="D94" s="4"/>
      <c r="E94" s="4"/>
      <c r="F94" s="4"/>
      <c r="G94" s="4"/>
      <c r="H94" s="4"/>
      <c r="I94" s="4"/>
      <c r="J94" s="4"/>
      <c r="K94" s="4"/>
      <c r="L94" s="4"/>
      <c r="M94" s="4"/>
      <c r="N94" s="4"/>
      <c r="O94" s="6"/>
      <c r="P94" s="6"/>
      <c r="Q94" s="6"/>
      <c r="R94" s="6"/>
      <c r="S94" s="6"/>
      <c r="T94" s="7"/>
      <c r="U94" s="7"/>
      <c r="V94" s="6"/>
      <c r="W94" s="15"/>
      <c r="X94" s="7"/>
      <c r="Y94" s="7"/>
      <c r="Z94" s="7"/>
      <c r="AA94" s="6"/>
    </row>
    <row r="95" spans="2:38" x14ac:dyDescent="0.25">
      <c r="B95" s="4"/>
      <c r="C95" s="4"/>
      <c r="D95" s="4"/>
      <c r="E95" s="4"/>
      <c r="F95" s="4"/>
      <c r="G95" s="4"/>
      <c r="H95" s="4"/>
      <c r="I95" s="4"/>
      <c r="J95" s="4"/>
      <c r="K95" s="4"/>
      <c r="L95" s="4"/>
      <c r="M95" s="4"/>
      <c r="N95" s="4"/>
      <c r="O95" s="6"/>
      <c r="P95" s="6"/>
      <c r="Q95" s="6"/>
      <c r="R95" s="6"/>
      <c r="S95" s="6"/>
      <c r="T95" s="7"/>
      <c r="U95" s="7"/>
      <c r="V95" s="7"/>
      <c r="W95" s="15"/>
      <c r="X95" s="7"/>
      <c r="Y95" s="7"/>
      <c r="Z95" s="7"/>
      <c r="AA95" s="6"/>
    </row>
    <row r="96" spans="2:38" x14ac:dyDescent="0.25">
      <c r="B96" s="4"/>
      <c r="C96" s="4"/>
      <c r="D96" s="4"/>
      <c r="E96" s="4"/>
      <c r="F96" s="4"/>
      <c r="G96" s="4"/>
      <c r="H96" s="4"/>
      <c r="I96" s="4"/>
      <c r="J96" s="4"/>
      <c r="K96" s="4"/>
      <c r="L96" s="4"/>
      <c r="M96" s="4"/>
      <c r="N96" s="4"/>
      <c r="O96" s="4"/>
      <c r="P96" s="4"/>
      <c r="Q96" s="4"/>
      <c r="R96" s="4"/>
      <c r="S96" s="4"/>
      <c r="T96" s="4"/>
      <c r="U96" s="4"/>
      <c r="V96" s="4"/>
      <c r="W96" s="4"/>
      <c r="X96" s="4"/>
      <c r="Y96" s="4"/>
      <c r="Z96" s="4"/>
    </row>
    <row r="97" spans="2:27" x14ac:dyDescent="0.25">
      <c r="B97" s="4"/>
      <c r="C97" s="4"/>
      <c r="D97" s="4"/>
      <c r="E97" s="4"/>
      <c r="F97" s="4"/>
      <c r="G97" s="4"/>
      <c r="H97" s="4"/>
      <c r="I97" s="4"/>
      <c r="J97" s="4"/>
      <c r="K97" s="4"/>
      <c r="L97" s="4"/>
      <c r="M97" s="4"/>
      <c r="N97" s="4"/>
      <c r="O97" s="6"/>
      <c r="P97" s="6"/>
      <c r="Q97" s="6"/>
      <c r="R97" s="6"/>
      <c r="S97" s="6"/>
      <c r="T97" s="7"/>
      <c r="U97" s="7"/>
      <c r="V97" s="7"/>
      <c r="W97" s="15"/>
      <c r="X97" s="7"/>
      <c r="Y97" s="7"/>
      <c r="Z97" s="7"/>
      <c r="AA97" s="6"/>
    </row>
    <row r="98" spans="2:27" x14ac:dyDescent="0.25">
      <c r="B98" s="4"/>
      <c r="C98" s="4"/>
      <c r="D98" s="4"/>
      <c r="E98" s="4"/>
      <c r="F98" s="4"/>
      <c r="G98" s="4"/>
      <c r="H98" s="4"/>
      <c r="I98" s="4"/>
      <c r="J98" s="4"/>
      <c r="K98" s="4"/>
      <c r="L98" s="4"/>
      <c r="M98" s="4"/>
      <c r="N98" s="4"/>
      <c r="O98" s="4"/>
      <c r="P98" s="4"/>
      <c r="Q98" s="4"/>
      <c r="R98" s="4"/>
      <c r="S98" s="4"/>
      <c r="T98" s="4"/>
      <c r="U98" s="4"/>
      <c r="V98" s="4"/>
      <c r="W98" s="4"/>
      <c r="X98" s="4"/>
      <c r="Y98" s="4"/>
      <c r="Z98" s="4"/>
    </row>
    <row r="99" spans="2:27" x14ac:dyDescent="0.25">
      <c r="B99" s="4"/>
      <c r="C99" s="4"/>
      <c r="D99" s="4"/>
      <c r="E99" s="4"/>
      <c r="F99" s="4"/>
      <c r="G99" s="4"/>
      <c r="H99" s="4"/>
      <c r="I99" s="4"/>
      <c r="J99" s="4"/>
      <c r="K99" s="4"/>
      <c r="L99" s="4"/>
      <c r="M99" s="4"/>
      <c r="N99" s="4"/>
      <c r="O99" s="4"/>
      <c r="P99" s="4"/>
      <c r="Q99" s="4"/>
      <c r="R99" s="4"/>
      <c r="S99" s="4"/>
      <c r="T99" s="4"/>
      <c r="U99" s="4"/>
      <c r="V99" s="4"/>
      <c r="W99" s="4"/>
      <c r="X99" s="4"/>
      <c r="Y99" s="4"/>
      <c r="Z99" s="4"/>
    </row>
    <row r="100" spans="2:27" x14ac:dyDescent="0.25">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2:27" x14ac:dyDescent="0.25">
      <c r="O101" s="4"/>
    </row>
  </sheetData>
  <sheetProtection algorithmName="SHA-512" hashValue="rrPwAUFQRmJPV1jyNySUKChPxBw+oo/yALSQE9J5cIanlxTxrxn14rullG9jlAZGCW6ZrgjslVhf7WhmKhNv9g==" saltValue="k6TNCTsGaOpF2olzMqZjpA==" spinCount="100000" sheet="1" selectLockedCells="1"/>
  <sortState xmlns:xlrd2="http://schemas.microsoft.com/office/spreadsheetml/2017/richdata2" ref="O19:AA27">
    <sortCondition ref="O20:O28"/>
  </sortState>
  <mergeCells count="16">
    <mergeCell ref="AE1:AF1"/>
    <mergeCell ref="H56:J56"/>
    <mergeCell ref="H58:J58"/>
    <mergeCell ref="B27:D27"/>
    <mergeCell ref="B29:D29"/>
    <mergeCell ref="B31:D31"/>
    <mergeCell ref="H30:J30"/>
    <mergeCell ref="H31:J31"/>
    <mergeCell ref="H32:J32"/>
    <mergeCell ref="G34:J34"/>
    <mergeCell ref="G35:J35"/>
    <mergeCell ref="G36:J36"/>
    <mergeCell ref="B25:D25"/>
    <mergeCell ref="S1:T1"/>
    <mergeCell ref="V1:W1"/>
    <mergeCell ref="I49:J49"/>
  </mergeCells>
  <hyperlinks>
    <hyperlink ref="A68" r:id="rId1" display="https://intranet.ku.dk/sund/uddannelse/undervisning/normkatalog/Documents/Undervisnings-eksamens-vejledningsnormer%20samlet%20sept2013-jan2014.pdf " xr:uid="{00000000-0004-0000-0200-000000000000}"/>
  </hyperlinks>
  <pageMargins left="0.70866141732283472" right="0.70866141732283472" top="0.74803149606299213" bottom="0.74803149606299213" header="0.31496062992125984" footer="0.31496062992125984"/>
  <pageSetup paperSize="9" scale="70" orientation="portrait" r:id="rId2"/>
  <headerFooter alignWithMargins="0">
    <oddHeader>&amp;L&amp;A&amp;C&amp;F&amp;R&amp;D; &amp;T</oddHeader>
  </headerFooter>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79998168889431442"/>
    <pageSetUpPr fitToPage="1"/>
  </sheetPr>
  <dimension ref="A1:AL101"/>
  <sheetViews>
    <sheetView zoomScaleNormal="100" workbookViewId="0">
      <pane ySplit="1" topLeftCell="A2" activePane="bottomLeft" state="frozen"/>
      <selection pane="bottomLeft" activeCell="A3" sqref="A3"/>
    </sheetView>
  </sheetViews>
  <sheetFormatPr defaultColWidth="9.33203125" defaultRowHeight="15" x14ac:dyDescent="0.25"/>
  <cols>
    <col min="1" max="1" width="5.83203125" style="1" customWidth="1"/>
    <col min="2" max="2" width="32.83203125" style="1" customWidth="1"/>
    <col min="3" max="4" width="7" style="1" customWidth="1"/>
    <col min="5" max="5" width="7.33203125" style="1" customWidth="1"/>
    <col min="6" max="6" width="0.6640625" style="1" customWidth="1"/>
    <col min="7" max="7" width="6" style="1" customWidth="1"/>
    <col min="8" max="8" width="35.6640625" style="1" customWidth="1"/>
    <col min="9" max="9" width="10.1640625" style="1" customWidth="1"/>
    <col min="10" max="10" width="8.6640625" style="1" customWidth="1"/>
    <col min="11" max="11" width="9" style="1" customWidth="1"/>
    <col min="12" max="12" width="8.33203125" style="1" customWidth="1"/>
    <col min="13" max="13" width="1.1640625" style="1" customWidth="1"/>
    <col min="14" max="14" width="4" style="1" customWidth="1"/>
    <col min="15" max="15" width="45.5" style="1" customWidth="1"/>
    <col min="16" max="16" width="8.83203125" style="1" customWidth="1"/>
    <col min="17" max="17" width="6.5" style="1" customWidth="1"/>
    <col min="18" max="18" width="6" style="1" customWidth="1"/>
    <col min="19" max="19" width="8.6640625" style="1" customWidth="1"/>
    <col min="20" max="20" width="6.33203125" style="1" customWidth="1"/>
    <col min="21" max="23" width="6.6640625" style="1" customWidth="1"/>
    <col min="24" max="24" width="7.5" style="1" customWidth="1"/>
    <col min="25" max="26" width="6.83203125" style="1" customWidth="1"/>
    <col min="27" max="27" width="9.33203125" style="1"/>
    <col min="28" max="28" width="12.83203125" style="25" customWidth="1"/>
    <col min="29" max="29" width="12.83203125" style="1" customWidth="1"/>
    <col min="30" max="30" width="9.83203125" style="1" customWidth="1"/>
    <col min="31" max="16384" width="9.33203125" style="1"/>
  </cols>
  <sheetData>
    <row r="1" spans="1:38" x14ac:dyDescent="0.25">
      <c r="A1" s="14"/>
      <c r="B1" s="14"/>
      <c r="C1" s="14" t="str">
        <f>'2-Medicine'!C1</f>
        <v>Factor</v>
      </c>
      <c r="D1" s="14"/>
      <c r="E1" s="22" t="str">
        <f>'2-Medicine'!E1</f>
        <v>UR-h</v>
      </c>
      <c r="F1" s="6">
        <f>'2-Medicine'!F1</f>
        <v>0</v>
      </c>
      <c r="G1" s="6"/>
      <c r="H1" s="102"/>
      <c r="I1" s="14" t="str">
        <f>'2-Medicine'!I1</f>
        <v>% of set</v>
      </c>
      <c r="J1" s="14" t="str">
        <f>'2-Medicine'!J1</f>
        <v>h/exam</v>
      </c>
      <c r="K1" s="14" t="str">
        <f>'2-Medicine'!K1</f>
        <v>UR/unit</v>
      </c>
      <c r="L1" s="22" t="str">
        <f>'2-Medicine'!L1</f>
        <v>UR-h</v>
      </c>
      <c r="M1" s="7">
        <f>'2-Medicine'!M1</f>
        <v>0</v>
      </c>
      <c r="O1" s="26" t="str">
        <f>'2-Medicine'!O1</f>
        <v>ACTIVITY TABLE</v>
      </c>
      <c r="P1" s="26" t="str">
        <f>'2-Medicine'!P1</f>
        <v>Study</v>
      </c>
      <c r="Q1" s="26" t="str">
        <f>'2-Medicine'!Q1</f>
        <v>Level</v>
      </c>
      <c r="R1" s="26" t="str">
        <f>'2-Medicine'!R1</f>
        <v>Sem</v>
      </c>
      <c r="S1" s="186" t="str">
        <f>'2-Medicine'!S1</f>
        <v>Exam</v>
      </c>
      <c r="T1" s="186"/>
      <c r="U1" s="136" t="str">
        <f>'2-Medicine'!U1</f>
        <v>Prep</v>
      </c>
      <c r="V1" s="186" t="str">
        <f>'2-Medicine'!V1</f>
        <v>Assessment</v>
      </c>
      <c r="W1" s="186"/>
      <c r="X1" s="136" t="str">
        <f>'2-Medicine'!X1</f>
        <v>eECTS</v>
      </c>
      <c r="Y1" s="136" t="str">
        <f>'2-Medicine'!Y1</f>
        <v>kECTS</v>
      </c>
      <c r="Z1" s="29" t="str">
        <f>'2-Medicine'!Z1</f>
        <v>∑ECTS</v>
      </c>
      <c r="AA1" s="154" t="str">
        <f>'2-Medicine'!AA1</f>
        <v>Dept</v>
      </c>
      <c r="AB1" s="154" t="str">
        <f>'2-Medicine'!AB1</f>
        <v>Exam #</v>
      </c>
      <c r="AC1" s="154" t="str">
        <f>'2-Medicine'!AC1</f>
        <v>Course #</v>
      </c>
      <c r="AE1" s="177" t="str">
        <f>'2-Medicine'!$AE$1</f>
        <v>VEJLEDNING</v>
      </c>
      <c r="AF1" s="178"/>
      <c r="AL1" s="6"/>
    </row>
    <row r="2" spans="1:38" ht="15.75" thickBot="1" x14ac:dyDescent="0.3">
      <c r="A2" s="58"/>
      <c r="B2" s="58" t="s">
        <v>66</v>
      </c>
      <c r="C2" s="56"/>
      <c r="D2" s="56"/>
      <c r="E2" s="56"/>
      <c r="F2" s="56"/>
      <c r="G2" s="56"/>
      <c r="H2" s="67" t="s">
        <v>67</v>
      </c>
      <c r="I2" s="56"/>
      <c r="J2" s="56"/>
      <c r="K2" s="56"/>
      <c r="L2" s="56"/>
      <c r="M2" s="56"/>
      <c r="N2" s="8">
        <v>1</v>
      </c>
      <c r="O2" s="6" t="s">
        <v>41</v>
      </c>
      <c r="P2" s="84" t="s">
        <v>11</v>
      </c>
      <c r="Q2" s="84" t="s">
        <v>6</v>
      </c>
      <c r="R2" s="6">
        <v>3.1</v>
      </c>
      <c r="S2" s="6" t="s">
        <v>84</v>
      </c>
      <c r="T2" s="7">
        <v>4</v>
      </c>
      <c r="U2" s="7">
        <v>130</v>
      </c>
      <c r="V2" s="7">
        <v>40</v>
      </c>
      <c r="W2" s="15">
        <f t="shared" ref="W2:W4" si="0">V2/60</f>
        <v>0.66666666666666663</v>
      </c>
      <c r="X2" s="7">
        <v>7.5</v>
      </c>
      <c r="Y2" s="7">
        <v>2.5</v>
      </c>
      <c r="Z2" s="7">
        <f t="shared" ref="Z2:Z4" si="1">SUM(X2:Y2)</f>
        <v>10</v>
      </c>
      <c r="AA2" s="6" t="s">
        <v>2</v>
      </c>
      <c r="AB2" s="1" t="s">
        <v>344</v>
      </c>
      <c r="AC2" s="1" t="s">
        <v>356</v>
      </c>
      <c r="AE2" s="2">
        <f>'2-Medicine'!AE2</f>
        <v>1</v>
      </c>
      <c r="AF2" s="3">
        <f>'2-Medicine'!AF2</f>
        <v>1</v>
      </c>
      <c r="AL2" s="6"/>
    </row>
    <row r="3" spans="1:38" ht="15.75" thickBot="1" x14ac:dyDescent="0.3">
      <c r="A3" s="76"/>
      <c r="B3" s="54" t="str">
        <f>IF(A3="","← Choose # in ACTIVITY TABLE",VLOOKUP(A3,AKTIVITET,2,FALSE))</f>
        <v>← Choose # in ACTIVITY TABLE</v>
      </c>
      <c r="C3" s="55"/>
      <c r="D3" s="55"/>
      <c r="E3" s="56"/>
      <c r="F3" s="56"/>
      <c r="G3" s="76"/>
      <c r="H3" s="54" t="str">
        <f>IF(G3="","← Choose # in ACTIVITY TABLE",VLOOKUP(G3,AKTIVITET,2,FALSE))</f>
        <v>← Choose # in ACTIVITY TABLE</v>
      </c>
      <c r="I3" s="60" t="str">
        <f>IF(I4&gt;100,"↓max 100%","")</f>
        <v/>
      </c>
      <c r="J3" s="54"/>
      <c r="K3" s="57"/>
      <c r="L3" s="61"/>
      <c r="M3" s="56"/>
      <c r="N3" s="8">
        <v>2</v>
      </c>
      <c r="O3" s="1" t="s">
        <v>345</v>
      </c>
      <c r="P3" s="84" t="s">
        <v>11</v>
      </c>
      <c r="Q3" s="84" t="s">
        <v>6</v>
      </c>
      <c r="R3" s="6">
        <v>3.1</v>
      </c>
      <c r="S3" s="6" t="s">
        <v>84</v>
      </c>
      <c r="T3" s="7">
        <v>4</v>
      </c>
      <c r="U3" s="7">
        <v>130</v>
      </c>
      <c r="V3" s="7">
        <v>40</v>
      </c>
      <c r="W3" s="15">
        <f t="shared" si="0"/>
        <v>0.66666666666666663</v>
      </c>
      <c r="X3" s="7">
        <v>7.5</v>
      </c>
      <c r="Y3" s="7">
        <v>2.5</v>
      </c>
      <c r="Z3" s="7">
        <f t="shared" si="1"/>
        <v>10</v>
      </c>
      <c r="AA3" s="6" t="s">
        <v>2</v>
      </c>
      <c r="AB3" s="1" t="s">
        <v>343</v>
      </c>
      <c r="AC3" s="1" t="s">
        <v>355</v>
      </c>
      <c r="AE3" s="2">
        <f>'2-Medicine'!AE3</f>
        <v>2</v>
      </c>
      <c r="AF3" s="3">
        <f>'2-Medicine'!AF3</f>
        <v>1.1499999999999999</v>
      </c>
      <c r="AL3" s="6"/>
    </row>
    <row r="4" spans="1:38" ht="15.75" thickBot="1" x14ac:dyDescent="0.3">
      <c r="A4" s="75"/>
      <c r="B4" s="54" t="str">
        <f>IF(A3="","","Lectures")</f>
        <v/>
      </c>
      <c r="C4" s="57" t="str">
        <f>IF($A$3="","",6)</f>
        <v/>
      </c>
      <c r="D4" s="57"/>
      <c r="E4" s="56" t="str">
        <f>IF($A$3="","",A4*C4)</f>
        <v/>
      </c>
      <c r="F4" s="56"/>
      <c r="G4" s="79"/>
      <c r="H4" s="62" t="str">
        <f>IF(G3="","",CONCATENATE("= # of stud. ",VLOOKUP(G3,AKTIVITET,6,FALSE),IF(VLOOKUP(G3,AKTIVITET,4,FALSE)="Oral",""," Your share% =")))</f>
        <v/>
      </c>
      <c r="I4" s="51">
        <v>100</v>
      </c>
      <c r="J4" s="56" t="str">
        <f>IF(G3="","",VLOOKUP(G3,AKTIVITET,7,FALSE))</f>
        <v/>
      </c>
      <c r="K4" s="56" t="str">
        <f>IF(G3="","",VLOOKUP(G3,AKTIVITET,10,FALSE))</f>
        <v/>
      </c>
      <c r="L4" s="56" t="str">
        <f>IF(G3="","",IF(H3="OSCE",8,G4*I4/100*K4))</f>
        <v/>
      </c>
      <c r="M4" s="56"/>
      <c r="N4" s="8">
        <v>3</v>
      </c>
      <c r="O4" s="6" t="s">
        <v>63</v>
      </c>
      <c r="P4" s="84" t="s">
        <v>11</v>
      </c>
      <c r="Q4" s="84" t="s">
        <v>6</v>
      </c>
      <c r="R4" s="6">
        <v>4.0999999999999996</v>
      </c>
      <c r="S4" s="6" t="s">
        <v>84</v>
      </c>
      <c r="T4" s="7">
        <v>2</v>
      </c>
      <c r="U4" s="7">
        <v>70</v>
      </c>
      <c r="V4" s="7">
        <v>20</v>
      </c>
      <c r="W4" s="15">
        <f t="shared" si="0"/>
        <v>0.33333333333333331</v>
      </c>
      <c r="X4" s="7">
        <v>10</v>
      </c>
      <c r="Y4" s="7">
        <v>0</v>
      </c>
      <c r="Z4" s="7">
        <f t="shared" si="1"/>
        <v>10</v>
      </c>
      <c r="AA4" s="6" t="s">
        <v>3</v>
      </c>
      <c r="AB4" s="1" t="s">
        <v>410</v>
      </c>
      <c r="AC4" s="1" t="s">
        <v>368</v>
      </c>
      <c r="AE4" s="9">
        <f>'2-Medicine'!AE4</f>
        <v>3</v>
      </c>
      <c r="AF4" s="10">
        <f>'2-Medicine'!AF4</f>
        <v>1.3</v>
      </c>
      <c r="AL4" s="6"/>
    </row>
    <row r="5" spans="1:38" ht="15.75" thickBot="1" x14ac:dyDescent="0.3">
      <c r="A5" s="53"/>
      <c r="B5" s="54" t="str">
        <f>IF(A3="","","SAU24 class room teaching")</f>
        <v/>
      </c>
      <c r="C5" s="57" t="str">
        <f>IF($A$3="","",3.5)</f>
        <v/>
      </c>
      <c r="D5" s="57"/>
      <c r="E5" s="56" t="str">
        <f>IF($A$3="","",A5*C5)</f>
        <v/>
      </c>
      <c r="F5" s="56"/>
      <c r="G5" s="78"/>
      <c r="H5" s="54" t="str">
        <f>IF(G5="","← Choose # in ACTIVITY TABLE",VLOOKUP(G5,AKTIVITET,2,FALSE))</f>
        <v>← Choose # in ACTIVITY TABLE</v>
      </c>
      <c r="I5" s="60" t="str">
        <f>IF(I6&gt;100,"↓max 100%","")</f>
        <v/>
      </c>
      <c r="J5" s="54"/>
      <c r="K5" s="54"/>
      <c r="L5" s="56"/>
      <c r="M5" s="56"/>
      <c r="N5" s="8">
        <v>4</v>
      </c>
      <c r="O5" s="6" t="s">
        <v>64</v>
      </c>
      <c r="P5" s="84" t="s">
        <v>11</v>
      </c>
      <c r="Q5" s="84" t="s">
        <v>6</v>
      </c>
      <c r="R5" s="6">
        <v>4.0999999999999996</v>
      </c>
      <c r="S5" s="6" t="s">
        <v>84</v>
      </c>
      <c r="T5" s="7">
        <v>3</v>
      </c>
      <c r="U5" s="7">
        <v>70</v>
      </c>
      <c r="V5" s="7">
        <v>30</v>
      </c>
      <c r="W5" s="15">
        <f t="shared" ref="W5:W33" si="2">V5/60</f>
        <v>0.5</v>
      </c>
      <c r="X5" s="7">
        <v>10</v>
      </c>
      <c r="Y5" s="7">
        <v>0</v>
      </c>
      <c r="Z5" s="7">
        <f t="shared" ref="Z5:Z27" si="3">SUM(X5:Y5)</f>
        <v>10</v>
      </c>
      <c r="AA5" s="6" t="s">
        <v>3</v>
      </c>
      <c r="AB5" s="1" t="s">
        <v>445</v>
      </c>
      <c r="AC5" s="1" t="s">
        <v>367</v>
      </c>
      <c r="AE5" s="9">
        <f>'2-Medicine'!AE5</f>
        <v>4</v>
      </c>
      <c r="AF5" s="10">
        <f>'2-Medicine'!AF5</f>
        <v>1.3</v>
      </c>
      <c r="AL5" s="6"/>
    </row>
    <row r="6" spans="1:38" ht="15.75" thickBot="1" x14ac:dyDescent="0.3">
      <c r="A6" s="53"/>
      <c r="B6" s="54" t="str">
        <f>IF(A3="","","SAU12 students exercises")</f>
        <v/>
      </c>
      <c r="C6" s="57" t="str">
        <f>IF($A$3="","",2.5)</f>
        <v/>
      </c>
      <c r="D6" s="57"/>
      <c r="E6" s="56" t="str">
        <f>IF($A$3="","",A6*C6)</f>
        <v/>
      </c>
      <c r="F6" s="56"/>
      <c r="G6" s="79"/>
      <c r="H6" s="62" t="str">
        <f>IF(G5="","",CONCATENATE("= # of stud. ",VLOOKUP(G5,AKTIVITET,6,FALSE),IF(VLOOKUP(G5,AKTIVITET,4,FALSE)="Oral",""," Your share% =")))</f>
        <v/>
      </c>
      <c r="I6" s="51">
        <v>100</v>
      </c>
      <c r="J6" s="56" t="str">
        <f>IF(G5="","",VLOOKUP(G5,AKTIVITET,7,FALSE))</f>
        <v/>
      </c>
      <c r="K6" s="56" t="str">
        <f>IF(G5="","",VLOOKUP(G5,AKTIVITET,10,FALSE))</f>
        <v/>
      </c>
      <c r="L6" s="56" t="str">
        <f>IF(G5="","",IF(H5="OSCE",8,G6*I6/100*K6))</f>
        <v/>
      </c>
      <c r="M6" s="56"/>
      <c r="N6" s="8">
        <v>5</v>
      </c>
      <c r="O6" s="6" t="s">
        <v>377</v>
      </c>
      <c r="P6" s="84" t="s">
        <v>11</v>
      </c>
      <c r="Q6" s="84" t="s">
        <v>6</v>
      </c>
      <c r="R6" s="6">
        <v>6.2</v>
      </c>
      <c r="S6" s="6" t="s">
        <v>327</v>
      </c>
      <c r="T6" s="7">
        <f t="shared" ref="T6:T11" si="4">45/60</f>
        <v>0.75</v>
      </c>
      <c r="U6" s="7">
        <v>0.5</v>
      </c>
      <c r="V6" s="7">
        <v>0</v>
      </c>
      <c r="W6" s="15">
        <f t="shared" si="2"/>
        <v>0</v>
      </c>
      <c r="X6" s="7">
        <v>15</v>
      </c>
      <c r="Y6" s="7">
        <v>0</v>
      </c>
      <c r="Z6" s="7">
        <f t="shared" si="3"/>
        <v>15</v>
      </c>
      <c r="AA6" s="6" t="s">
        <v>3</v>
      </c>
      <c r="AB6" s="1" t="s">
        <v>376</v>
      </c>
      <c r="AC6" s="1" t="s">
        <v>375</v>
      </c>
      <c r="AE6" s="9">
        <f>'2-Medicine'!AE6</f>
        <v>5</v>
      </c>
      <c r="AF6" s="10">
        <f>'2-Medicine'!AF6</f>
        <v>1.3</v>
      </c>
      <c r="AL6" s="6"/>
    </row>
    <row r="7" spans="1:38" ht="15.75" thickBot="1" x14ac:dyDescent="0.3">
      <c r="A7" s="77"/>
      <c r="B7" s="54" t="str">
        <f>IF(A3="","","Presence")</f>
        <v/>
      </c>
      <c r="C7" s="57" t="str">
        <f>IF($A$3="","",1)</f>
        <v/>
      </c>
      <c r="D7" s="57"/>
      <c r="E7" s="56" t="str">
        <f>IF($A$3="","",A7*C7)</f>
        <v/>
      </c>
      <c r="F7" s="56"/>
      <c r="G7" s="78"/>
      <c r="H7" s="54" t="str">
        <f>IF(G7="","← Choose # in ACTIVITY TABLE",VLOOKUP(G7,AKTIVITET,2,FALSE))</f>
        <v>← Choose # in ACTIVITY TABLE</v>
      </c>
      <c r="I7" s="60" t="str">
        <f>IF(I8&gt;100,"↓max 100%","")</f>
        <v/>
      </c>
      <c r="J7" s="54"/>
      <c r="K7" s="54"/>
      <c r="L7" s="56"/>
      <c r="M7" s="56"/>
      <c r="N7" s="8">
        <v>6</v>
      </c>
      <c r="O7" s="6" t="s">
        <v>378</v>
      </c>
      <c r="P7" s="84" t="s">
        <v>11</v>
      </c>
      <c r="Q7" s="84" t="s">
        <v>6</v>
      </c>
      <c r="R7" s="6">
        <v>6.1</v>
      </c>
      <c r="S7" s="6" t="s">
        <v>327</v>
      </c>
      <c r="T7" s="7">
        <f t="shared" si="4"/>
        <v>0.75</v>
      </c>
      <c r="U7" s="7">
        <v>0.5</v>
      </c>
      <c r="V7" s="7">
        <v>0</v>
      </c>
      <c r="W7" s="15">
        <f t="shared" si="2"/>
        <v>0</v>
      </c>
      <c r="X7" s="7">
        <v>17.5</v>
      </c>
      <c r="Y7" s="7">
        <v>0</v>
      </c>
      <c r="Z7" s="7">
        <f t="shared" si="3"/>
        <v>17.5</v>
      </c>
      <c r="AA7" s="6" t="s">
        <v>3</v>
      </c>
      <c r="AB7" s="1" t="s">
        <v>383</v>
      </c>
      <c r="AC7" s="1" t="s">
        <v>383</v>
      </c>
      <c r="AE7" s="23">
        <f>'2-Medicine'!AE7</f>
        <v>6</v>
      </c>
      <c r="AF7" s="12">
        <f>'2-Medicine'!AF7</f>
        <v>1.3</v>
      </c>
      <c r="AL7" s="6"/>
    </row>
    <row r="8" spans="1:38" ht="15.75" thickBot="1" x14ac:dyDescent="0.3">
      <c r="A8" s="76"/>
      <c r="B8" s="54" t="str">
        <f>IF(A8="","← Choose # in ACTIVITY TABLE",VLOOKUP(A8,AKTIVITET,2,FALSE))</f>
        <v>← Choose # in ACTIVITY TABLE</v>
      </c>
      <c r="C8" s="54"/>
      <c r="D8" s="54"/>
      <c r="E8" s="54"/>
      <c r="F8" s="56"/>
      <c r="G8" s="80"/>
      <c r="H8" s="62" t="str">
        <f>IF(G7="","",CONCATENATE("= # of stud. ",VLOOKUP(G7,AKTIVITET,6,FALSE),IF(VLOOKUP(G7,AKTIVITET,4,FALSE)="Oral",""," Your share% =")))</f>
        <v/>
      </c>
      <c r="I8" s="51">
        <v>100</v>
      </c>
      <c r="J8" s="56" t="str">
        <f>IF(G7="","",VLOOKUP(G7,AKTIVITET,7,FALSE))</f>
        <v/>
      </c>
      <c r="K8" s="56" t="str">
        <f>IF(G7="","",VLOOKUP(G7,AKTIVITET,10,FALSE))</f>
        <v/>
      </c>
      <c r="L8" s="56" t="str">
        <f>IF(G7="","",IF(H7="OSCE",8,G8*I8/100*K8))</f>
        <v/>
      </c>
      <c r="M8" s="56"/>
      <c r="N8" s="8">
        <v>7</v>
      </c>
      <c r="O8" s="6" t="s">
        <v>379</v>
      </c>
      <c r="P8" s="84" t="s">
        <v>11</v>
      </c>
      <c r="Q8" s="84" t="s">
        <v>6</v>
      </c>
      <c r="R8" s="6">
        <v>6.1</v>
      </c>
      <c r="S8" s="6" t="s">
        <v>327</v>
      </c>
      <c r="T8" s="7">
        <f t="shared" si="4"/>
        <v>0.75</v>
      </c>
      <c r="U8" s="7">
        <v>0.5</v>
      </c>
      <c r="V8" s="7">
        <v>0</v>
      </c>
      <c r="W8" s="15">
        <f t="shared" si="2"/>
        <v>0</v>
      </c>
      <c r="X8" s="7">
        <v>20</v>
      </c>
      <c r="Y8" s="7">
        <v>0</v>
      </c>
      <c r="Z8" s="7">
        <f t="shared" si="3"/>
        <v>20</v>
      </c>
      <c r="AA8" s="6" t="s">
        <v>3</v>
      </c>
      <c r="AB8" s="1" t="s">
        <v>385</v>
      </c>
      <c r="AC8" s="1" t="s">
        <v>384</v>
      </c>
      <c r="AD8" s="6"/>
      <c r="AE8" s="6"/>
      <c r="AL8" s="6"/>
    </row>
    <row r="9" spans="1:38" ht="15.75" thickBot="1" x14ac:dyDescent="0.3">
      <c r="A9" s="75"/>
      <c r="B9" s="54" t="str">
        <f>IF(A8="","","Lectures")</f>
        <v/>
      </c>
      <c r="C9" s="57" t="str">
        <f>IF($A$8="","",6)</f>
        <v/>
      </c>
      <c r="D9" s="57"/>
      <c r="E9" s="56" t="str">
        <f>IF($A$8="","",A9*C9)</f>
        <v/>
      </c>
      <c r="F9" s="56"/>
      <c r="G9" s="78"/>
      <c r="H9" s="54" t="str">
        <f>IF(G9="","← Choose # in ACTIVITY TABLE",VLOOKUP(G9,AKTIVITET,2,FALSE))</f>
        <v>← Choose # in ACTIVITY TABLE</v>
      </c>
      <c r="I9" s="60" t="str">
        <f>IF(I10&gt;100,"↓max 100%","")</f>
        <v/>
      </c>
      <c r="J9" s="54"/>
      <c r="K9" s="54"/>
      <c r="L9" s="56"/>
      <c r="M9" s="56"/>
      <c r="N9" s="8">
        <v>8</v>
      </c>
      <c r="O9" s="6" t="s">
        <v>380</v>
      </c>
      <c r="P9" s="84" t="s">
        <v>11</v>
      </c>
      <c r="Q9" s="84" t="s">
        <v>6</v>
      </c>
      <c r="R9" s="6">
        <v>6.2</v>
      </c>
      <c r="S9" s="6" t="s">
        <v>327</v>
      </c>
      <c r="T9" s="7">
        <f t="shared" si="4"/>
        <v>0.75</v>
      </c>
      <c r="U9" s="7">
        <v>0.5</v>
      </c>
      <c r="V9" s="7">
        <v>0</v>
      </c>
      <c r="W9" s="15">
        <f t="shared" si="2"/>
        <v>0</v>
      </c>
      <c r="X9" s="7">
        <v>15</v>
      </c>
      <c r="Y9" s="7">
        <v>0</v>
      </c>
      <c r="Z9" s="7">
        <f t="shared" si="3"/>
        <v>15</v>
      </c>
      <c r="AA9" s="6" t="s">
        <v>3</v>
      </c>
      <c r="AB9" s="1" t="s">
        <v>371</v>
      </c>
      <c r="AC9" s="1" t="s">
        <v>371</v>
      </c>
      <c r="AD9" s="6"/>
      <c r="AE9" s="6"/>
      <c r="AL9" s="6"/>
    </row>
    <row r="10" spans="1:38" ht="15.75" thickBot="1" x14ac:dyDescent="0.3">
      <c r="A10" s="53"/>
      <c r="B10" s="54" t="str">
        <f>IF(A8="","","SAU24 class room teaching")</f>
        <v/>
      </c>
      <c r="C10" s="57" t="str">
        <f>IF($A$8="","",3.5)</f>
        <v/>
      </c>
      <c r="D10" s="57"/>
      <c r="E10" s="56" t="str">
        <f>IF($A$8="","",A10*C10)</f>
        <v/>
      </c>
      <c r="F10" s="56"/>
      <c r="G10" s="79"/>
      <c r="H10" s="62" t="str">
        <f>IF(G9="","",CONCATENATE("= # of stud. ",VLOOKUP(G9,AKTIVITET,6,FALSE),IF(VLOOKUP(G9,AKTIVITET,4,FALSE)="Oral",""," Your share% =")))</f>
        <v/>
      </c>
      <c r="I10" s="51">
        <v>100</v>
      </c>
      <c r="J10" s="56" t="str">
        <f>IF(G9="","",VLOOKUP(G9,AKTIVITET,7,FALSE))</f>
        <v/>
      </c>
      <c r="K10" s="56" t="str">
        <f>IF(G9="","",VLOOKUP(G9,AKTIVITET,10,FALSE))</f>
        <v/>
      </c>
      <c r="L10" s="56" t="str">
        <f>IF(G9="","",IF(H9="OSCE",8,G10*I10/100*K10))</f>
        <v/>
      </c>
      <c r="M10" s="56"/>
      <c r="N10" s="8">
        <v>9</v>
      </c>
      <c r="O10" s="6" t="s">
        <v>381</v>
      </c>
      <c r="P10" s="84" t="s">
        <v>11</v>
      </c>
      <c r="Q10" s="84" t="s">
        <v>6</v>
      </c>
      <c r="R10" s="6">
        <v>6.1</v>
      </c>
      <c r="S10" s="6" t="s">
        <v>327</v>
      </c>
      <c r="T10" s="7">
        <f t="shared" si="4"/>
        <v>0.75</v>
      </c>
      <c r="U10" s="7">
        <v>0.5</v>
      </c>
      <c r="V10" s="7">
        <v>0</v>
      </c>
      <c r="W10" s="15">
        <f t="shared" si="2"/>
        <v>0</v>
      </c>
      <c r="X10" s="7">
        <v>17.5</v>
      </c>
      <c r="Y10" s="7">
        <v>0</v>
      </c>
      <c r="Z10" s="7">
        <f t="shared" si="3"/>
        <v>17.5</v>
      </c>
      <c r="AA10" s="6" t="s">
        <v>3</v>
      </c>
      <c r="AB10" s="1" t="s">
        <v>372</v>
      </c>
      <c r="AC10" s="1" t="s">
        <v>372</v>
      </c>
      <c r="AD10" s="6"/>
      <c r="AE10" s="6"/>
      <c r="AL10" s="6"/>
    </row>
    <row r="11" spans="1:38" ht="15.75" thickBot="1" x14ac:dyDescent="0.3">
      <c r="A11" s="53"/>
      <c r="B11" s="54" t="str">
        <f>IF(A8="","","SAU12 students exercises")</f>
        <v/>
      </c>
      <c r="C11" s="57" t="str">
        <f>IF($A$8="","",2.5)</f>
        <v/>
      </c>
      <c r="D11" s="57"/>
      <c r="E11" s="56" t="str">
        <f>IF($A$8="","",A11*C11)</f>
        <v/>
      </c>
      <c r="F11" s="56"/>
      <c r="G11" s="78"/>
      <c r="H11" s="54" t="str">
        <f>IF(G11="","← Choose # in ACTIVITY TABLE",VLOOKUP(G11,AKTIVITET,2,FALSE))</f>
        <v>← Choose # in ACTIVITY TABLE</v>
      </c>
      <c r="I11" s="60" t="str">
        <f>IF(I12&gt;100,"↓max 100%","")</f>
        <v/>
      </c>
      <c r="J11" s="54"/>
      <c r="K11" s="54"/>
      <c r="L11" s="56"/>
      <c r="M11" s="56"/>
      <c r="N11" s="8">
        <v>10</v>
      </c>
      <c r="O11" s="6" t="s">
        <v>382</v>
      </c>
      <c r="P11" s="84" t="s">
        <v>11</v>
      </c>
      <c r="Q11" s="84" t="s">
        <v>6</v>
      </c>
      <c r="R11" s="6">
        <v>6.1</v>
      </c>
      <c r="S11" s="6" t="s">
        <v>327</v>
      </c>
      <c r="T11" s="7">
        <f t="shared" si="4"/>
        <v>0.75</v>
      </c>
      <c r="U11" s="7">
        <v>0.5</v>
      </c>
      <c r="V11" s="7">
        <v>0</v>
      </c>
      <c r="W11" s="15">
        <f t="shared" si="2"/>
        <v>0</v>
      </c>
      <c r="X11" s="7">
        <v>20</v>
      </c>
      <c r="Y11" s="7">
        <v>0</v>
      </c>
      <c r="Z11" s="7">
        <f t="shared" si="3"/>
        <v>20</v>
      </c>
      <c r="AA11" s="6" t="s">
        <v>3</v>
      </c>
      <c r="AB11" s="1" t="s">
        <v>373</v>
      </c>
      <c r="AC11" s="1" t="s">
        <v>373</v>
      </c>
      <c r="AD11" s="6"/>
      <c r="AE11" s="6"/>
      <c r="AL11" s="6"/>
    </row>
    <row r="12" spans="1:38" ht="15.75" thickBot="1" x14ac:dyDescent="0.3">
      <c r="A12" s="77"/>
      <c r="B12" s="54" t="str">
        <f>IF(A8="","","Presence")</f>
        <v/>
      </c>
      <c r="C12" s="57" t="str">
        <f>IF($A$8="","",1)</f>
        <v/>
      </c>
      <c r="D12" s="57"/>
      <c r="E12" s="56" t="str">
        <f>IF($A$8="","",A12*C12)</f>
        <v/>
      </c>
      <c r="F12" s="56"/>
      <c r="G12" s="75"/>
      <c r="H12" s="62" t="str">
        <f>IF(G11="","",CONCATENATE("= # of stud. ",VLOOKUP(G11,AKTIVITET,6,FALSE),IF(VLOOKUP(G11,AKTIVITET,4,FALSE)="Oral",""," Your share% =")))</f>
        <v/>
      </c>
      <c r="I12" s="51">
        <v>100</v>
      </c>
      <c r="J12" s="56" t="str">
        <f>IF(G11="","",VLOOKUP(G11,AKTIVITET,7,FALSE))</f>
        <v/>
      </c>
      <c r="K12" s="56" t="str">
        <f>IF(G11="","",VLOOKUP(G11,AKTIVITET,10,FALSE))</f>
        <v/>
      </c>
      <c r="L12" s="56" t="str">
        <f>IF(G11="","",IF(H11="OSCE",8,G12*I12/100*K12))</f>
        <v/>
      </c>
      <c r="M12" s="56"/>
      <c r="N12" s="8">
        <v>11</v>
      </c>
      <c r="O12" s="1" t="s">
        <v>42</v>
      </c>
      <c r="P12" s="84" t="s">
        <v>11</v>
      </c>
      <c r="Q12" s="87" t="s">
        <v>6</v>
      </c>
      <c r="S12" s="1" t="s">
        <v>333</v>
      </c>
      <c r="T12" s="27">
        <v>0</v>
      </c>
      <c r="U12" s="27">
        <v>25</v>
      </c>
      <c r="V12" s="27">
        <v>0</v>
      </c>
      <c r="W12" s="15">
        <f t="shared" si="2"/>
        <v>0</v>
      </c>
      <c r="X12" s="27">
        <v>5</v>
      </c>
      <c r="Y12" s="27">
        <v>2.5</v>
      </c>
      <c r="Z12" s="7">
        <f t="shared" si="3"/>
        <v>7.5</v>
      </c>
      <c r="AA12" s="6" t="s">
        <v>3</v>
      </c>
      <c r="AB12" s="1" t="s">
        <v>389</v>
      </c>
      <c r="AC12" s="1" t="s">
        <v>388</v>
      </c>
      <c r="AD12" s="6"/>
      <c r="AE12" s="6"/>
      <c r="AL12" s="6"/>
    </row>
    <row r="13" spans="1:38" ht="15.75" thickBot="1" x14ac:dyDescent="0.3">
      <c r="A13" s="76"/>
      <c r="B13" s="54" t="str">
        <f>IF(A13="","← Choose # in ACTIVITY TABLE",VLOOKUP(A13,AKTIVITET,2,FALSE))</f>
        <v>← Choose # in ACTIVITY TABLE</v>
      </c>
      <c r="C13" s="54"/>
      <c r="D13" s="54"/>
      <c r="E13" s="56"/>
      <c r="F13" s="56"/>
      <c r="G13" s="54"/>
      <c r="H13" s="67" t="s">
        <v>75</v>
      </c>
      <c r="I13" s="54"/>
      <c r="J13" s="54"/>
      <c r="K13" s="54"/>
      <c r="L13" s="54"/>
      <c r="M13" s="56"/>
      <c r="N13" s="8">
        <v>12</v>
      </c>
      <c r="O13" s="6" t="s">
        <v>125</v>
      </c>
      <c r="P13" s="84" t="s">
        <v>11</v>
      </c>
      <c r="Q13" s="84" t="s">
        <v>6</v>
      </c>
      <c r="R13" s="6"/>
      <c r="S13" s="1" t="s">
        <v>326</v>
      </c>
      <c r="T13" s="7">
        <f>25/60</f>
        <v>0.41666666666666669</v>
      </c>
      <c r="U13" s="7">
        <v>0.5</v>
      </c>
      <c r="V13" s="27">
        <v>25</v>
      </c>
      <c r="W13" s="15">
        <f t="shared" si="2"/>
        <v>0.41666666666666669</v>
      </c>
      <c r="X13" s="6">
        <v>2.5</v>
      </c>
      <c r="Y13" s="7">
        <v>2.5</v>
      </c>
      <c r="Z13" s="7">
        <f t="shared" si="3"/>
        <v>5</v>
      </c>
      <c r="AA13" s="6" t="s">
        <v>3</v>
      </c>
      <c r="AB13" s="1" t="s">
        <v>525</v>
      </c>
      <c r="AC13" s="1" t="s">
        <v>387</v>
      </c>
      <c r="AD13" s="6"/>
      <c r="AE13" s="6"/>
      <c r="AL13" s="6"/>
    </row>
    <row r="14" spans="1:38" ht="15.75" thickBot="1" x14ac:dyDescent="0.3">
      <c r="A14" s="75"/>
      <c r="B14" s="54" t="str">
        <f>IF(A13="","","Lectures")</f>
        <v/>
      </c>
      <c r="C14" s="57" t="str">
        <f>IF($A$13="","",6)</f>
        <v/>
      </c>
      <c r="D14" s="57"/>
      <c r="E14" s="56" t="str">
        <f>IF($A$13="","",A14*C14)</f>
        <v/>
      </c>
      <c r="F14" s="56"/>
      <c r="G14" s="78"/>
      <c r="H14" s="54" t="str">
        <f>IF(G14="","← Choose # in ACTIVITY TABLE",VLOOKUP(G14,AKTIVITET,2,FALSE))</f>
        <v>← Choose # in ACTIVITY TABLE</v>
      </c>
      <c r="I14" s="60" t="str">
        <f>IF(I15&gt;100,"↓max 100%","")</f>
        <v/>
      </c>
      <c r="J14" s="64"/>
      <c r="K14" s="65"/>
      <c r="L14" s="56"/>
      <c r="M14" s="56"/>
      <c r="N14" s="8">
        <v>13</v>
      </c>
      <c r="O14" s="6" t="s">
        <v>459</v>
      </c>
      <c r="P14" s="84" t="s">
        <v>11</v>
      </c>
      <c r="Q14" s="89" t="s">
        <v>7</v>
      </c>
      <c r="S14" s="6" t="s">
        <v>327</v>
      </c>
      <c r="T14" s="27">
        <f>30/60</f>
        <v>0.5</v>
      </c>
      <c r="U14" s="27">
        <v>100</v>
      </c>
      <c r="V14" s="27">
        <v>40</v>
      </c>
      <c r="W14" s="15">
        <f t="shared" si="2"/>
        <v>0.66666666666666663</v>
      </c>
      <c r="X14" s="7">
        <v>0</v>
      </c>
      <c r="Y14" s="27">
        <v>10</v>
      </c>
      <c r="Z14" s="7">
        <f t="shared" si="3"/>
        <v>10</v>
      </c>
      <c r="AA14" s="6" t="s">
        <v>227</v>
      </c>
      <c r="AB14" s="1" t="s">
        <v>461</v>
      </c>
      <c r="AC14" s="1" t="s">
        <v>460</v>
      </c>
      <c r="AD14" s="6"/>
      <c r="AE14" s="6"/>
      <c r="AL14" s="6"/>
    </row>
    <row r="15" spans="1:38" ht="15.75" thickBot="1" x14ac:dyDescent="0.3">
      <c r="A15" s="53"/>
      <c r="B15" s="54" t="str">
        <f>IF(A13="","","SAU24 class room teaching")</f>
        <v/>
      </c>
      <c r="C15" s="57" t="str">
        <f>IF($A$13="","",3.5)</f>
        <v/>
      </c>
      <c r="D15" s="57"/>
      <c r="E15" s="56" t="str">
        <f>IF($A$13="","",A15*C15)</f>
        <v/>
      </c>
      <c r="F15" s="56"/>
      <c r="G15" s="79"/>
      <c r="H15" s="66" t="str">
        <f>IF(G14="","",IF(LEFT(H14,4)="Spot","Fixed # of H",IF(VLOOKUP(G14,AKTIVITET,6,FALSE)="Oral",(CONCATENATE("= # of stud. ",(VLOOKUP(G14,AKTIVITET,6,FALSE))," your share% =")),CONCATENATE(VLOOKUP(G14,AKTIVITET,6,FALSE)," your share% ="))))</f>
        <v/>
      </c>
      <c r="I15" s="51">
        <v>100</v>
      </c>
      <c r="J15" s="56" t="str">
        <f>IF(G14="","",VLOOKUP(G14,AKTIVITET,8,FALSE))</f>
        <v/>
      </c>
      <c r="K15" s="54"/>
      <c r="L15" s="56" t="str">
        <f>IF(G14="","",IF(H14="OSCE",J15,IF(VLOOKUP(G14,AKTIVITET,6,FALSE)="Oral",G15*(J15*I15/100),J15*I15/100)))</f>
        <v/>
      </c>
      <c r="M15" s="56"/>
      <c r="N15" s="8">
        <v>14</v>
      </c>
      <c r="O15" s="1" t="s">
        <v>43</v>
      </c>
      <c r="P15" s="84" t="s">
        <v>11</v>
      </c>
      <c r="Q15" s="89" t="s">
        <v>7</v>
      </c>
      <c r="S15" s="1" t="s">
        <v>327</v>
      </c>
      <c r="T15" s="7">
        <f>30/60</f>
        <v>0.5</v>
      </c>
      <c r="U15" s="7">
        <v>25</v>
      </c>
      <c r="V15" s="24">
        <v>45</v>
      </c>
      <c r="W15" s="15">
        <f t="shared" si="2"/>
        <v>0.75</v>
      </c>
      <c r="X15" s="7">
        <v>7.5</v>
      </c>
      <c r="Y15" s="27">
        <v>2.5</v>
      </c>
      <c r="Z15" s="7">
        <f t="shared" si="3"/>
        <v>10</v>
      </c>
      <c r="AA15" s="6" t="s">
        <v>3</v>
      </c>
      <c r="AB15" s="1" t="s">
        <v>370</v>
      </c>
      <c r="AC15" s="1" t="s">
        <v>369</v>
      </c>
      <c r="AD15" s="6"/>
      <c r="AE15" s="6"/>
      <c r="AL15" s="6"/>
    </row>
    <row r="16" spans="1:38" ht="15.75" thickBot="1" x14ac:dyDescent="0.3">
      <c r="A16" s="53"/>
      <c r="B16" s="54" t="str">
        <f>IF(A13="","","SAU12 students exercises")</f>
        <v/>
      </c>
      <c r="C16" s="57" t="str">
        <f>IF($A$13="","",2.5)</f>
        <v/>
      </c>
      <c r="D16" s="57"/>
      <c r="E16" s="56" t="str">
        <f>IF($A$13="","",A16*C16)</f>
        <v/>
      </c>
      <c r="F16" s="56"/>
      <c r="G16" s="78"/>
      <c r="H16" s="54" t="str">
        <f>IF(G16="","← Choose # in ACTIVITY TABLE",VLOOKUP(G16,AKTIVITET,2,FALSE))</f>
        <v>← Choose # in ACTIVITY TABLE</v>
      </c>
      <c r="I16" s="60" t="str">
        <f>IF(I17&gt;100,"↓max 100%","")</f>
        <v/>
      </c>
      <c r="J16" s="64"/>
      <c r="K16" s="65"/>
      <c r="L16" s="56"/>
      <c r="M16" s="56"/>
      <c r="N16" s="8">
        <v>15</v>
      </c>
      <c r="O16" s="6" t="s">
        <v>44</v>
      </c>
      <c r="P16" s="84" t="s">
        <v>11</v>
      </c>
      <c r="Q16" s="88" t="s">
        <v>7</v>
      </c>
      <c r="R16" s="6"/>
      <c r="S16" s="6" t="s">
        <v>84</v>
      </c>
      <c r="T16" s="7">
        <v>4</v>
      </c>
      <c r="U16" s="7">
        <v>100</v>
      </c>
      <c r="V16" s="7">
        <v>40</v>
      </c>
      <c r="W16" s="15">
        <f t="shared" si="2"/>
        <v>0.66666666666666663</v>
      </c>
      <c r="X16" s="7">
        <v>0</v>
      </c>
      <c r="Y16" s="7">
        <v>10</v>
      </c>
      <c r="Z16" s="7">
        <f t="shared" si="3"/>
        <v>10</v>
      </c>
      <c r="AA16" s="6" t="s">
        <v>3</v>
      </c>
      <c r="AB16" s="1" t="s">
        <v>442</v>
      </c>
      <c r="AC16" s="1" t="s">
        <v>441</v>
      </c>
      <c r="AD16" s="6"/>
      <c r="AE16" s="6"/>
      <c r="AL16" s="6"/>
    </row>
    <row r="17" spans="1:38" ht="15.75" thickBot="1" x14ac:dyDescent="0.3">
      <c r="A17" s="77"/>
      <c r="B17" s="54" t="str">
        <f>IF(A13="","","Presence")</f>
        <v/>
      </c>
      <c r="C17" s="57" t="str">
        <f>IF($A$13="","",1)</f>
        <v/>
      </c>
      <c r="D17" s="57"/>
      <c r="E17" s="56" t="str">
        <f>IF($A$13="","",A17*C17)</f>
        <v/>
      </c>
      <c r="F17" s="56"/>
      <c r="G17" s="79"/>
      <c r="H17" s="66" t="str">
        <f>IF(G16="","",IF(LEFT(H16,4)="Spot","Fixed # of H",IF(VLOOKUP(G16,AKTIVITET,6,FALSE)="Oral",(CONCATENATE("= # of stud. ",(VLOOKUP(G16,AKTIVITET,6,FALSE))," your share% =")),CONCATENATE(VLOOKUP(G16,AKTIVITET,6,FALSE)," your share% ="))))</f>
        <v/>
      </c>
      <c r="I17" s="51">
        <v>100</v>
      </c>
      <c r="J17" s="56" t="str">
        <f>IF(G16="","",VLOOKUP(G16,AKTIVITET,8,FALSE))</f>
        <v/>
      </c>
      <c r="K17" s="54"/>
      <c r="L17" s="56" t="str">
        <f>IF(G16="","",IF(H16="OSCE",J17,IF(VLOOKUP(G16,AKTIVITET,6,FALSE)="Oral",G17*(J17*I17/100),J17*I17/100)))</f>
        <v/>
      </c>
      <c r="M17" s="56"/>
      <c r="N17" s="8">
        <v>16</v>
      </c>
      <c r="O17" s="6" t="s">
        <v>428</v>
      </c>
      <c r="P17" s="84" t="s">
        <v>11</v>
      </c>
      <c r="Q17" s="88" t="s">
        <v>7</v>
      </c>
      <c r="R17" s="6"/>
      <c r="S17" s="6" t="s">
        <v>327</v>
      </c>
      <c r="T17" s="7">
        <v>1</v>
      </c>
      <c r="U17" s="7">
        <v>0</v>
      </c>
      <c r="V17" s="7">
        <v>60</v>
      </c>
      <c r="W17" s="15">
        <f t="shared" si="2"/>
        <v>1</v>
      </c>
      <c r="X17" s="7">
        <v>0</v>
      </c>
      <c r="Y17" s="7">
        <v>30</v>
      </c>
      <c r="Z17" s="7">
        <f t="shared" si="3"/>
        <v>30</v>
      </c>
      <c r="AA17" s="6" t="s">
        <v>3</v>
      </c>
      <c r="AB17" s="1" t="s">
        <v>426</v>
      </c>
      <c r="AC17" s="1" t="s">
        <v>426</v>
      </c>
      <c r="AD17" s="6"/>
      <c r="AE17" s="6"/>
      <c r="AL17" s="6"/>
    </row>
    <row r="18" spans="1:38" ht="15.75" thickBot="1" x14ac:dyDescent="0.3">
      <c r="A18" s="76"/>
      <c r="B18" s="54" t="str">
        <f>IF(A18="","← Choose # in ACTIVITY TABLE",VLOOKUP(A18,AKTIVITET,2,FALSE))</f>
        <v>← Choose # in ACTIVITY TABLE</v>
      </c>
      <c r="C18" s="54"/>
      <c r="D18" s="54"/>
      <c r="E18" s="54"/>
      <c r="F18" s="56"/>
      <c r="G18" s="78"/>
      <c r="H18" s="54" t="str">
        <f>IF(G18="","← Choose # in ACTIVITY TABLE",VLOOKUP(G18,AKTIVITET,2,FALSE))</f>
        <v>← Choose # in ACTIVITY TABLE</v>
      </c>
      <c r="I18" s="60" t="str">
        <f>IF(I19&gt;100,"↓max 100%","")</f>
        <v/>
      </c>
      <c r="J18" s="64"/>
      <c r="K18" s="65"/>
      <c r="L18" s="56"/>
      <c r="M18" s="56"/>
      <c r="N18" s="8">
        <v>17</v>
      </c>
      <c r="O18" s="6" t="s">
        <v>427</v>
      </c>
      <c r="P18" s="84" t="s">
        <v>11</v>
      </c>
      <c r="Q18" s="88" t="s">
        <v>7</v>
      </c>
      <c r="R18" s="6"/>
      <c r="S18" s="6" t="s">
        <v>327</v>
      </c>
      <c r="T18" s="7">
        <v>1</v>
      </c>
      <c r="U18" s="7">
        <v>0</v>
      </c>
      <c r="V18" s="7">
        <v>60</v>
      </c>
      <c r="W18" s="15">
        <f t="shared" si="2"/>
        <v>1</v>
      </c>
      <c r="X18" s="7">
        <v>0</v>
      </c>
      <c r="Y18" s="7">
        <v>32.5</v>
      </c>
      <c r="Z18" s="7">
        <f t="shared" si="3"/>
        <v>32.5</v>
      </c>
      <c r="AA18" s="6" t="s">
        <v>3</v>
      </c>
      <c r="AB18" s="1" t="s">
        <v>430</v>
      </c>
      <c r="AC18" s="1" t="s">
        <v>429</v>
      </c>
      <c r="AD18" s="6"/>
      <c r="AE18" s="6"/>
      <c r="AL18" s="6"/>
    </row>
    <row r="19" spans="1:38" ht="15.75" thickBot="1" x14ac:dyDescent="0.3">
      <c r="A19" s="75"/>
      <c r="B19" s="54" t="str">
        <f>IF(A18="","","Lectures")</f>
        <v/>
      </c>
      <c r="C19" s="57" t="str">
        <f>IF($A$18="","",6)</f>
        <v/>
      </c>
      <c r="D19" s="57"/>
      <c r="E19" s="56" t="str">
        <f>IF($A$18="","",A19*C19)</f>
        <v/>
      </c>
      <c r="F19" s="56"/>
      <c r="G19" s="79"/>
      <c r="H19" s="66" t="str">
        <f>IF(G18="","",IF(LEFT(H18,4)="Spot","Fixed # of H",IF(VLOOKUP(G18,AKTIVITET,6,FALSE)="Oral",(CONCATENATE("= # of stud. ",(VLOOKUP(G18,AKTIVITET,6,FALSE))," your share% =")),CONCATENATE(VLOOKUP(G18,AKTIVITET,6,FALSE)," your share% ="))))</f>
        <v/>
      </c>
      <c r="I19" s="51">
        <v>100</v>
      </c>
      <c r="J19" s="56" t="str">
        <f>IF(G18="","",VLOOKUP(G18,AKTIVITET,8,FALSE))</f>
        <v/>
      </c>
      <c r="K19" s="54"/>
      <c r="L19" s="56" t="str">
        <f>IF(G18="","",IF(H18="OSCE",J19,IF(VLOOKUP(G18,AKTIVITET,6,FALSE)="Oral",G19*(J19*I19/100),J19*I19/100)))</f>
        <v/>
      </c>
      <c r="M19" s="56"/>
      <c r="N19" s="8">
        <v>18</v>
      </c>
      <c r="O19" s="6" t="s">
        <v>431</v>
      </c>
      <c r="P19" s="84" t="s">
        <v>11</v>
      </c>
      <c r="Q19" s="88" t="s">
        <v>7</v>
      </c>
      <c r="R19" s="6"/>
      <c r="S19" s="6" t="s">
        <v>327</v>
      </c>
      <c r="T19" s="7">
        <v>1</v>
      </c>
      <c r="U19" s="7">
        <v>0</v>
      </c>
      <c r="V19" s="7">
        <v>60</v>
      </c>
      <c r="W19" s="15">
        <f t="shared" si="2"/>
        <v>1</v>
      </c>
      <c r="X19" s="7">
        <v>0</v>
      </c>
      <c r="Y19" s="7">
        <v>35</v>
      </c>
      <c r="Z19" s="7">
        <f t="shared" si="3"/>
        <v>35</v>
      </c>
      <c r="AA19" s="6" t="s">
        <v>3</v>
      </c>
      <c r="AB19" s="1" t="s">
        <v>432</v>
      </c>
      <c r="AC19" s="1" t="s">
        <v>432</v>
      </c>
      <c r="AD19" s="6"/>
      <c r="AE19" s="6"/>
      <c r="AL19" s="6"/>
    </row>
    <row r="20" spans="1:38" ht="15.75" thickBot="1" x14ac:dyDescent="0.3">
      <c r="A20" s="53"/>
      <c r="B20" s="54" t="str">
        <f>IF(A18="","","SAU24 class room teaching")</f>
        <v/>
      </c>
      <c r="C20" s="57" t="str">
        <f>IF($A$18="","",3.5)</f>
        <v/>
      </c>
      <c r="D20" s="57"/>
      <c r="E20" s="56" t="str">
        <f>IF($A$18="","",A20*C20)</f>
        <v/>
      </c>
      <c r="F20" s="56"/>
      <c r="G20" s="78"/>
      <c r="H20" s="54" t="str">
        <f>IF(G20="","← Choose # in ACTIVITY TABLE",VLOOKUP(G20,AKTIVITET,2,FALSE))</f>
        <v>← Choose # in ACTIVITY TABLE</v>
      </c>
      <c r="I20" s="60" t="str">
        <f>IF(I21&gt;100,"↓max 100%","")</f>
        <v/>
      </c>
      <c r="J20" s="64"/>
      <c r="K20" s="65"/>
      <c r="L20" s="56"/>
      <c r="M20" s="56"/>
      <c r="N20" s="8">
        <v>19</v>
      </c>
      <c r="O20" s="6" t="s">
        <v>433</v>
      </c>
      <c r="P20" s="84" t="s">
        <v>11</v>
      </c>
      <c r="Q20" s="88" t="s">
        <v>7</v>
      </c>
      <c r="R20" s="6"/>
      <c r="S20" s="6" t="s">
        <v>327</v>
      </c>
      <c r="T20" s="7">
        <v>1</v>
      </c>
      <c r="U20" s="7">
        <v>0</v>
      </c>
      <c r="V20" s="7">
        <v>60</v>
      </c>
      <c r="W20" s="15">
        <f t="shared" si="2"/>
        <v>1</v>
      </c>
      <c r="X20" s="7">
        <v>0</v>
      </c>
      <c r="Y20" s="7">
        <v>30</v>
      </c>
      <c r="Z20" s="7">
        <f t="shared" si="3"/>
        <v>30</v>
      </c>
      <c r="AA20" s="6" t="s">
        <v>3</v>
      </c>
      <c r="AB20" s="1" t="s">
        <v>434</v>
      </c>
      <c r="AC20" s="1" t="s">
        <v>434</v>
      </c>
      <c r="AD20" s="6"/>
      <c r="AE20" s="6"/>
      <c r="AL20" s="6"/>
    </row>
    <row r="21" spans="1:38" x14ac:dyDescent="0.25">
      <c r="A21" s="53"/>
      <c r="B21" s="54" t="str">
        <f>IF(A18="","","SAU12 students exercises")</f>
        <v/>
      </c>
      <c r="C21" s="57" t="str">
        <f>IF($A$18="","",2.5)</f>
        <v/>
      </c>
      <c r="D21" s="57"/>
      <c r="E21" s="56" t="str">
        <f>IF($A$18="","",A21*C21)</f>
        <v/>
      </c>
      <c r="F21" s="56"/>
      <c r="G21" s="75"/>
      <c r="H21" s="66" t="str">
        <f>IF(G20="","",IF(LEFT(H20,4)="Spot","Fixed # of H",IF(VLOOKUP(G20,AKTIVITET,6,FALSE)="Oral",(CONCATENATE("= # of stud. ",(VLOOKUP(G20,AKTIVITET,6,FALSE))," your share% =")),CONCATENATE(VLOOKUP(G20,AKTIVITET,6,FALSE)," your share% ="))))</f>
        <v/>
      </c>
      <c r="I21" s="51">
        <v>100</v>
      </c>
      <c r="J21" s="56" t="str">
        <f>IF(G20="","",VLOOKUP(G20,AKTIVITET,8,FALSE))</f>
        <v/>
      </c>
      <c r="K21" s="54"/>
      <c r="L21" s="56" t="str">
        <f>IF(G20="","",IF(H20="OSCE",J21,IF(VLOOKUP(G20,AKTIVITET,6,FALSE)="Oral",G21*(J21*I21/100),J21*I21/100)))</f>
        <v/>
      </c>
      <c r="M21" s="56"/>
      <c r="N21" s="8">
        <v>20</v>
      </c>
      <c r="O21" s="6" t="s">
        <v>436</v>
      </c>
      <c r="P21" s="84" t="s">
        <v>11</v>
      </c>
      <c r="Q21" s="88" t="s">
        <v>7</v>
      </c>
      <c r="R21" s="6"/>
      <c r="S21" s="6" t="s">
        <v>327</v>
      </c>
      <c r="T21" s="7">
        <v>1</v>
      </c>
      <c r="U21" s="7">
        <v>0</v>
      </c>
      <c r="V21" s="7">
        <v>60</v>
      </c>
      <c r="W21" s="15">
        <f t="shared" si="2"/>
        <v>1</v>
      </c>
      <c r="X21" s="7">
        <v>0</v>
      </c>
      <c r="Y21" s="7">
        <v>32.5</v>
      </c>
      <c r="Z21" s="7">
        <f t="shared" si="3"/>
        <v>32.5</v>
      </c>
      <c r="AA21" s="6" t="s">
        <v>3</v>
      </c>
      <c r="AB21" s="1" t="s">
        <v>435</v>
      </c>
      <c r="AC21" s="1" t="s">
        <v>435</v>
      </c>
      <c r="AD21" s="6"/>
      <c r="AE21" s="6"/>
      <c r="AL21" s="6"/>
    </row>
    <row r="22" spans="1:38" ht="15.75" thickBot="1" x14ac:dyDescent="0.3">
      <c r="A22" s="53"/>
      <c r="B22" s="54" t="str">
        <f>IF(A18="","","Presence")</f>
        <v/>
      </c>
      <c r="C22" s="57" t="str">
        <f>IF($A$18="","",1)</f>
        <v/>
      </c>
      <c r="D22" s="57"/>
      <c r="E22" s="56" t="str">
        <f>IF($A$18="","",A22*C22)</f>
        <v/>
      </c>
      <c r="F22" s="56"/>
      <c r="G22" s="54"/>
      <c r="H22" s="67" t="s">
        <v>72</v>
      </c>
      <c r="I22" s="58"/>
      <c r="J22" s="68" t="str">
        <f>IF(SUM(G23:G36)&gt;0,"ECTS","")</f>
        <v/>
      </c>
      <c r="K22" s="54"/>
      <c r="L22" s="54"/>
      <c r="M22" s="56"/>
      <c r="N22" s="8">
        <v>21</v>
      </c>
      <c r="O22" s="6" t="s">
        <v>437</v>
      </c>
      <c r="P22" s="84" t="s">
        <v>11</v>
      </c>
      <c r="Q22" s="88" t="s">
        <v>7</v>
      </c>
      <c r="R22" s="6"/>
      <c r="S22" s="6" t="s">
        <v>327</v>
      </c>
      <c r="T22" s="7">
        <v>1</v>
      </c>
      <c r="U22" s="7">
        <v>0</v>
      </c>
      <c r="V22" s="7">
        <v>60</v>
      </c>
      <c r="W22" s="15">
        <f t="shared" si="2"/>
        <v>1</v>
      </c>
      <c r="X22" s="7">
        <v>0</v>
      </c>
      <c r="Y22" s="7">
        <v>35</v>
      </c>
      <c r="Z22" s="7">
        <f t="shared" si="3"/>
        <v>35</v>
      </c>
      <c r="AA22" s="6" t="s">
        <v>3</v>
      </c>
      <c r="AB22" s="1" t="s">
        <v>438</v>
      </c>
      <c r="AC22" s="1" t="s">
        <v>438</v>
      </c>
      <c r="AD22" s="6"/>
      <c r="AE22" s="6"/>
      <c r="AL22" s="6"/>
    </row>
    <row r="23" spans="1:38" ht="15.75" thickBot="1" x14ac:dyDescent="0.3">
      <c r="A23" s="65"/>
      <c r="B23" s="58" t="s">
        <v>68</v>
      </c>
      <c r="C23" s="59" t="s">
        <v>69</v>
      </c>
      <c r="D23" s="59" t="s">
        <v>70</v>
      </c>
      <c r="E23" s="54"/>
      <c r="F23" s="56"/>
      <c r="G23" s="78"/>
      <c r="H23" s="54" t="str">
        <f>IF(G23="","← Choose # in ACTIVITY TABLE",VLOOKUP(G23,AKTIVITET,2,FALSE))</f>
        <v>← Choose # in ACTIVITY TABLE</v>
      </c>
      <c r="I23" s="60" t="str">
        <f>IF(I24&gt;100,"↓max 100%","")</f>
        <v/>
      </c>
      <c r="J23" s="64"/>
      <c r="K23" s="65"/>
      <c r="L23" s="56"/>
      <c r="M23" s="56"/>
      <c r="N23" s="8">
        <v>22</v>
      </c>
      <c r="O23" s="6" t="s">
        <v>503</v>
      </c>
      <c r="P23" s="84" t="s">
        <v>11</v>
      </c>
      <c r="Q23" s="88" t="s">
        <v>7</v>
      </c>
      <c r="R23" s="6"/>
      <c r="S23" s="1" t="s">
        <v>333</v>
      </c>
      <c r="T23" s="7">
        <f>90/60</f>
        <v>1.5</v>
      </c>
      <c r="U23" s="7">
        <v>0</v>
      </c>
      <c r="V23" s="7">
        <v>90</v>
      </c>
      <c r="W23" s="15">
        <f t="shared" si="2"/>
        <v>1.5</v>
      </c>
      <c r="X23" s="7">
        <v>0</v>
      </c>
      <c r="Y23" s="7">
        <v>5</v>
      </c>
      <c r="Z23" s="7">
        <f t="shared" si="3"/>
        <v>5</v>
      </c>
      <c r="AA23" s="6" t="s">
        <v>5</v>
      </c>
      <c r="AB23" s="1" t="s">
        <v>505</v>
      </c>
      <c r="AC23" s="1" t="s">
        <v>504</v>
      </c>
      <c r="AD23" s="6"/>
      <c r="AE23" s="6"/>
      <c r="AL23" s="6"/>
    </row>
    <row r="24" spans="1:38" ht="15.75" thickBot="1" x14ac:dyDescent="0.3">
      <c r="A24" s="76"/>
      <c r="B24" s="54" t="str">
        <f>IF(A24="","← Choose # in ACTIVITY TABLE",VLOOKUP(A24,AKTIVITET,2,FALSE))</f>
        <v>← Choose # in ACTIVITY TABLE</v>
      </c>
      <c r="C24" s="52"/>
      <c r="D24" s="99">
        <v>100</v>
      </c>
      <c r="E24" s="56" t="str">
        <f>IF(A24="","",IF(C24="","",(IF(VLOOKUP(A24,AKTIVITET,13,FALSE)&gt;40,40,VLOOKUP(A24,AKTIVITET,13,FALSE))*2*VLOOKUP(C24,VEJLEDNING,2,FALSE)*D24/100)))</f>
        <v/>
      </c>
      <c r="F24" s="56"/>
      <c r="G24" s="79"/>
      <c r="H24" s="62" t="str">
        <f>IF(G23="","",IF(OR(LEFT(H23,4)="Spot",LEFT(H23,4)="Inte"),"No hours","= # of classes. Your % of course l="))</f>
        <v/>
      </c>
      <c r="I24" s="51">
        <v>100</v>
      </c>
      <c r="J24" s="56" t="str">
        <f>IF(G23="","",VLOOKUP(G23,AKTIVITET,13,FALSE))</f>
        <v/>
      </c>
      <c r="K24" s="54"/>
      <c r="L24" s="56" t="str">
        <f>IF(G23="","",IF(LEFT(H23,4)="Spot",0,IF(LEFT(H23,6)="Integr",0,IF(5*J24&lt;20,20,IF((5*J24)&gt;60,60,5*J24)+IF(G24&gt;1,5*J24*(G24-1)*0.1,0))))*I24/100)</f>
        <v/>
      </c>
      <c r="M24" s="56"/>
      <c r="N24" s="8">
        <v>23</v>
      </c>
      <c r="O24" s="6" t="s">
        <v>422</v>
      </c>
      <c r="P24" s="42" t="s">
        <v>17</v>
      </c>
      <c r="Q24" s="42" t="s">
        <v>6</v>
      </c>
      <c r="R24" s="6">
        <v>1.1000000000000001</v>
      </c>
      <c r="S24" s="6" t="s">
        <v>334</v>
      </c>
      <c r="T24" s="7">
        <v>0</v>
      </c>
      <c r="U24" s="7">
        <v>25</v>
      </c>
      <c r="V24" s="7">
        <v>20</v>
      </c>
      <c r="W24" s="15">
        <f t="shared" si="2"/>
        <v>0.33333333333333331</v>
      </c>
      <c r="X24" s="7">
        <v>0</v>
      </c>
      <c r="Y24" s="7">
        <v>5</v>
      </c>
      <c r="Z24" s="7">
        <f t="shared" si="3"/>
        <v>5</v>
      </c>
      <c r="AA24" s="6" t="s">
        <v>3</v>
      </c>
      <c r="AB24" s="24"/>
      <c r="AC24" s="1" t="s">
        <v>423</v>
      </c>
      <c r="AD24" s="6"/>
      <c r="AE24" s="6"/>
      <c r="AL24" s="6"/>
    </row>
    <row r="25" spans="1:38" ht="15.75" thickBot="1" x14ac:dyDescent="0.3">
      <c r="A25" s="63" t="str">
        <f>IF(A24="","","Who?:")</f>
        <v/>
      </c>
      <c r="B25" s="183"/>
      <c r="C25" s="184"/>
      <c r="D25" s="185"/>
      <c r="E25" s="63"/>
      <c r="F25" s="56"/>
      <c r="G25" s="78"/>
      <c r="H25" s="54" t="str">
        <f>IF(G25="","← Choose # in ACTIVITY TABLE",VLOOKUP(G25,AKTIVITET,2,FALSE))</f>
        <v>← Choose # in ACTIVITY TABLE</v>
      </c>
      <c r="I25" s="60" t="str">
        <f>IF(I26&gt;100,"↓max 100%","")</f>
        <v/>
      </c>
      <c r="J25" s="64"/>
      <c r="K25" s="65"/>
      <c r="L25" s="56"/>
      <c r="M25" s="56"/>
      <c r="N25" s="8">
        <v>24</v>
      </c>
      <c r="O25" s="6" t="s">
        <v>411</v>
      </c>
      <c r="P25" s="42" t="s">
        <v>17</v>
      </c>
      <c r="Q25" s="42" t="s">
        <v>6</v>
      </c>
      <c r="R25" s="6"/>
      <c r="S25" s="6" t="s">
        <v>84</v>
      </c>
      <c r="T25" s="7">
        <v>2</v>
      </c>
      <c r="U25" s="7">
        <v>70</v>
      </c>
      <c r="V25" s="7">
        <v>20</v>
      </c>
      <c r="W25" s="15">
        <f t="shared" si="2"/>
        <v>0.33333333333333331</v>
      </c>
      <c r="X25" s="7">
        <v>0</v>
      </c>
      <c r="Y25" s="7">
        <v>10</v>
      </c>
      <c r="Z25" s="7">
        <f t="shared" si="3"/>
        <v>10</v>
      </c>
      <c r="AA25" s="6" t="s">
        <v>3</v>
      </c>
      <c r="AB25" s="24"/>
      <c r="AC25" s="1" t="s">
        <v>412</v>
      </c>
      <c r="AD25" s="6"/>
      <c r="AE25" s="6"/>
      <c r="AL25" s="6"/>
    </row>
    <row r="26" spans="1:38" ht="15.75" thickBot="1" x14ac:dyDescent="0.3">
      <c r="A26" s="78"/>
      <c r="B26" s="54" t="str">
        <f>IF(A26="","← Choose # in ACTIVITY TABLE",VLOOKUP(A26,AKTIVITET,2,FALSE))</f>
        <v>← Choose # in ACTIVITY TABLE</v>
      </c>
      <c r="C26" s="75"/>
      <c r="D26" s="100">
        <v>100</v>
      </c>
      <c r="E26" s="56" t="str">
        <f>IF(A26="","",IF(C26="","",(IF(VLOOKUP(A26,AKTIVITET,13,FALSE)&gt;40,40,VLOOKUP(A26,AKTIVITET,13,FALSE))*2*VLOOKUP(C26,VEJLEDNING,2,FALSE)*D26/100)))</f>
        <v/>
      </c>
      <c r="F26" s="56"/>
      <c r="G26" s="79"/>
      <c r="H26" s="62" t="str">
        <f>IF(G25="","",IF(OR(LEFT(H25,4)="Spot",LEFT(H25,4)="Inte"),"No hours","= # of classes. Your % of course l="))</f>
        <v/>
      </c>
      <c r="I26" s="51">
        <v>100</v>
      </c>
      <c r="J26" s="56" t="str">
        <f>IF(G25="","",VLOOKUP(G25,AKTIVITET,13,FALSE))</f>
        <v/>
      </c>
      <c r="K26" s="54"/>
      <c r="L26" s="56" t="str">
        <f>IF(G25="","",IF(LEFT(H25,4)="Spot",0,IF(LEFT(H25,6)="Integr",0,IF(5*J26&lt;20,20,IF((5*J26)&gt;60,60,5*J26)+IF(G26&gt;1,5*J26*(G26-1)*0.1,0))))*I26/100)</f>
        <v/>
      </c>
      <c r="M26" s="56"/>
      <c r="N26" s="8">
        <v>25</v>
      </c>
      <c r="O26" s="6" t="s">
        <v>65</v>
      </c>
      <c r="P26" s="42" t="s">
        <v>17</v>
      </c>
      <c r="Q26" s="42" t="s">
        <v>6</v>
      </c>
      <c r="R26" s="6"/>
      <c r="S26" s="6" t="s">
        <v>84</v>
      </c>
      <c r="T26" s="7">
        <v>3</v>
      </c>
      <c r="U26" s="7">
        <v>70</v>
      </c>
      <c r="V26" s="7">
        <v>30</v>
      </c>
      <c r="W26" s="15">
        <f t="shared" si="2"/>
        <v>0.5</v>
      </c>
      <c r="X26" s="7">
        <v>0</v>
      </c>
      <c r="Y26" s="7">
        <v>10</v>
      </c>
      <c r="Z26" s="7">
        <f t="shared" si="3"/>
        <v>10</v>
      </c>
      <c r="AA26" s="6" t="s">
        <v>3</v>
      </c>
      <c r="AB26" s="1"/>
      <c r="AC26" s="1" t="s">
        <v>446</v>
      </c>
      <c r="AD26" s="6"/>
      <c r="AE26" s="6"/>
      <c r="AL26" s="6"/>
    </row>
    <row r="27" spans="1:38" ht="15.75" thickBot="1" x14ac:dyDescent="0.3">
      <c r="A27" s="63" t="str">
        <f>IF(A26="","","Who?:")</f>
        <v/>
      </c>
      <c r="B27" s="183"/>
      <c r="C27" s="184"/>
      <c r="D27" s="185"/>
      <c r="E27" s="63"/>
      <c r="F27" s="56"/>
      <c r="G27" s="81"/>
      <c r="H27" s="54" t="str">
        <f>IF(G27="","← Choose # in ACTIVITY TABLE",VLOOKUP(G27,AKTIVITET,2,FALSE))</f>
        <v>← Choose # in ACTIVITY TABLE</v>
      </c>
      <c r="I27" s="60" t="str">
        <f>IF(I28&gt;100,"↓max 100%","")</f>
        <v/>
      </c>
      <c r="J27" s="64"/>
      <c r="K27" s="65"/>
      <c r="L27" s="56"/>
      <c r="M27" s="56"/>
      <c r="N27" s="8">
        <v>26</v>
      </c>
      <c r="O27" s="6" t="s">
        <v>553</v>
      </c>
      <c r="P27" s="42" t="s">
        <v>17</v>
      </c>
      <c r="Q27" s="42" t="s">
        <v>6</v>
      </c>
      <c r="R27" s="6"/>
      <c r="S27" s="6" t="s">
        <v>327</v>
      </c>
      <c r="T27" s="7">
        <v>1</v>
      </c>
      <c r="U27" s="7">
        <v>70</v>
      </c>
      <c r="V27" s="7">
        <v>60</v>
      </c>
      <c r="W27" s="15">
        <f t="shared" si="2"/>
        <v>1</v>
      </c>
      <c r="X27" s="7">
        <v>15</v>
      </c>
      <c r="Y27" s="7">
        <v>0</v>
      </c>
      <c r="Z27" s="7">
        <f t="shared" si="3"/>
        <v>15</v>
      </c>
      <c r="AA27" s="6" t="s">
        <v>552</v>
      </c>
      <c r="AB27" s="1" t="s">
        <v>551</v>
      </c>
      <c r="AC27" s="1" t="s">
        <v>551</v>
      </c>
      <c r="AD27" s="6"/>
      <c r="AE27" s="6"/>
      <c r="AL27" s="6"/>
    </row>
    <row r="28" spans="1:38" ht="15.75" thickBot="1" x14ac:dyDescent="0.3">
      <c r="A28" s="76"/>
      <c r="B28" s="54" t="str">
        <f>IF(A28="","← Choose # in ACTIVITY TABLE",VLOOKUP(A28,AKTIVITET,2,FALSE))</f>
        <v>← Choose # in ACTIVITY TABLE</v>
      </c>
      <c r="C28" s="101"/>
      <c r="D28" s="100">
        <v>100</v>
      </c>
      <c r="E28" s="56" t="str">
        <f>IF(A28="","",IF(C28="","",(IF(VLOOKUP(A28,AKTIVITET,13,FALSE)&gt;40,40,VLOOKUP(A28,AKTIVITET,13,FALSE))*2*VLOOKUP(C28,VEJLEDNING,2,FALSE)*D28/100)))</f>
        <v/>
      </c>
      <c r="F28" s="56"/>
      <c r="G28" s="53"/>
      <c r="H28" s="62" t="str">
        <f>IF(G27="","",IF(OR(LEFT(H27,4)="Spot",LEFT(H27,4)="Inte"),"No hours","= # of classes. Your % of course l="))</f>
        <v/>
      </c>
      <c r="I28" s="51">
        <v>100</v>
      </c>
      <c r="J28" s="56" t="str">
        <f>IF(G27="","",VLOOKUP(G27,AKTIVITET,13,FALSE))</f>
        <v/>
      </c>
      <c r="K28" s="54"/>
      <c r="L28" s="56" t="str">
        <f>IF(G27="","",IF(LEFT(H27,4)="Spot",0,IF(LEFT(H27,6)="Integr",0,IF(5*J28&lt;20,20,IF((5*J28)&gt;60,60,5*J28)+IF(G28&gt;1,5*J28*(G28-1)*0.1,0))))*I28/100)</f>
        <v/>
      </c>
      <c r="M28" s="56"/>
      <c r="N28" s="8">
        <v>27</v>
      </c>
      <c r="O28" s="6" t="s">
        <v>62</v>
      </c>
      <c r="P28" s="36" t="s">
        <v>16</v>
      </c>
      <c r="Q28" s="36" t="s">
        <v>6</v>
      </c>
      <c r="R28" s="6"/>
      <c r="S28" s="6" t="s">
        <v>84</v>
      </c>
      <c r="T28" s="7">
        <v>2</v>
      </c>
      <c r="U28" s="7">
        <v>70</v>
      </c>
      <c r="V28" s="7">
        <v>20</v>
      </c>
      <c r="W28" s="15">
        <f t="shared" si="2"/>
        <v>0.33333333333333331</v>
      </c>
      <c r="X28" s="7">
        <v>0</v>
      </c>
      <c r="Y28" s="7">
        <v>10</v>
      </c>
      <c r="Z28" s="7">
        <f t="shared" ref="Z28:Z33" si="5">SUM(X28:Y28)</f>
        <v>10</v>
      </c>
      <c r="AA28" s="6" t="s">
        <v>3</v>
      </c>
      <c r="AB28" s="1" t="s">
        <v>409</v>
      </c>
      <c r="AC28" s="1" t="s">
        <v>408</v>
      </c>
      <c r="AD28" s="6"/>
      <c r="AE28" s="6"/>
      <c r="AL28" s="6"/>
    </row>
    <row r="29" spans="1:38" ht="15.75" thickBot="1" x14ac:dyDescent="0.3">
      <c r="A29" s="63" t="str">
        <f>IF(A28="","","Who?:")</f>
        <v/>
      </c>
      <c r="B29" s="183"/>
      <c r="C29" s="184"/>
      <c r="D29" s="185"/>
      <c r="E29" s="63"/>
      <c r="F29" s="56"/>
      <c r="G29" s="58" t="s">
        <v>69</v>
      </c>
      <c r="H29" s="59" t="s">
        <v>119</v>
      </c>
      <c r="I29" s="54"/>
      <c r="J29" s="54"/>
      <c r="K29" s="59" t="s">
        <v>71</v>
      </c>
      <c r="L29" s="54"/>
      <c r="M29" s="56"/>
      <c r="N29" s="8">
        <v>28</v>
      </c>
      <c r="O29" s="6" t="s">
        <v>61</v>
      </c>
      <c r="P29" s="36" t="s">
        <v>16</v>
      </c>
      <c r="Q29" s="36" t="s">
        <v>6</v>
      </c>
      <c r="R29" s="6"/>
      <c r="S29" s="6" t="s">
        <v>84</v>
      </c>
      <c r="T29" s="7">
        <v>3</v>
      </c>
      <c r="U29" s="7">
        <v>70</v>
      </c>
      <c r="V29" s="7">
        <v>30</v>
      </c>
      <c r="W29" s="15">
        <f t="shared" si="2"/>
        <v>0.5</v>
      </c>
      <c r="X29" s="7">
        <v>0</v>
      </c>
      <c r="Y29" s="7">
        <v>10</v>
      </c>
      <c r="Z29" s="7">
        <f t="shared" si="5"/>
        <v>10</v>
      </c>
      <c r="AA29" s="6" t="s">
        <v>3</v>
      </c>
      <c r="AB29" s="1" t="s">
        <v>444</v>
      </c>
      <c r="AC29" s="1" t="s">
        <v>443</v>
      </c>
      <c r="AD29" s="6"/>
      <c r="AE29" s="6"/>
      <c r="AL29" s="6"/>
    </row>
    <row r="30" spans="1:38" ht="15.75" thickBot="1" x14ac:dyDescent="0.3">
      <c r="A30" s="78"/>
      <c r="B30" s="54" t="str">
        <f>IF(A30="","← Choose # in ACTIVITY TABLE",VLOOKUP(A30,AKTIVITET,2,FALSE))</f>
        <v>← Choose # in ACTIVITY TABLE</v>
      </c>
      <c r="C30" s="75"/>
      <c r="D30" s="100">
        <v>100</v>
      </c>
      <c r="E30" s="56" t="str">
        <f>IF(A30="","",IF(C30="","",(IF(VLOOKUP(A30,AKTIVITET,13,FALSE)&gt;40,40,VLOOKUP(A30,AKTIVITET,13,FALSE))*2*VLOOKUP(C30,VEJLEDNING,2,FALSE)*D30/100)))</f>
        <v/>
      </c>
      <c r="F30" s="56"/>
      <c r="G30" s="53"/>
      <c r="H30" s="172"/>
      <c r="I30" s="173"/>
      <c r="J30" s="174"/>
      <c r="K30" s="53"/>
      <c r="L30" s="56" t="str">
        <f>IF(H30="","",G30*K30)</f>
        <v/>
      </c>
      <c r="M30" s="56"/>
      <c r="N30" s="8">
        <v>29</v>
      </c>
      <c r="O30" s="6" t="s">
        <v>226</v>
      </c>
      <c r="P30" s="36" t="s">
        <v>16</v>
      </c>
      <c r="Q30" s="35" t="s">
        <v>7</v>
      </c>
      <c r="R30" s="6"/>
      <c r="S30" s="6" t="s">
        <v>84</v>
      </c>
      <c r="T30" s="7">
        <v>4</v>
      </c>
      <c r="U30" s="7">
        <v>70</v>
      </c>
      <c r="V30" s="7">
        <v>40</v>
      </c>
      <c r="W30" s="15">
        <f t="shared" si="2"/>
        <v>0.66666666666666663</v>
      </c>
      <c r="X30" s="7">
        <v>5</v>
      </c>
      <c r="Y30" s="7">
        <v>5</v>
      </c>
      <c r="Z30" s="7">
        <f t="shared" si="5"/>
        <v>10</v>
      </c>
      <c r="AA30" s="6" t="s">
        <v>3</v>
      </c>
      <c r="AB30" s="1" t="s">
        <v>395</v>
      </c>
      <c r="AC30" s="1" t="s">
        <v>394</v>
      </c>
      <c r="AD30" s="6"/>
      <c r="AE30" s="6"/>
      <c r="AL30" s="6"/>
    </row>
    <row r="31" spans="1:38" x14ac:dyDescent="0.25">
      <c r="A31" s="63" t="str">
        <f>IF(A30="","","Who?:")</f>
        <v/>
      </c>
      <c r="B31" s="183"/>
      <c r="C31" s="184"/>
      <c r="D31" s="185"/>
      <c r="E31" s="63"/>
      <c r="F31" s="56"/>
      <c r="G31" s="53"/>
      <c r="H31" s="172"/>
      <c r="I31" s="173"/>
      <c r="J31" s="174"/>
      <c r="K31" s="53"/>
      <c r="L31" s="56" t="str">
        <f>IF(H31="","",G31*K31)</f>
        <v/>
      </c>
      <c r="M31" s="56"/>
      <c r="N31" s="8">
        <v>30</v>
      </c>
      <c r="O31" s="6" t="s">
        <v>45</v>
      </c>
      <c r="P31" s="36" t="s">
        <v>16</v>
      </c>
      <c r="Q31" s="35" t="s">
        <v>7</v>
      </c>
      <c r="R31" s="6"/>
      <c r="S31" s="6" t="s">
        <v>327</v>
      </c>
      <c r="T31" s="7">
        <f>45/60</f>
        <v>0.75</v>
      </c>
      <c r="U31" s="7">
        <v>25</v>
      </c>
      <c r="V31" s="7">
        <v>45</v>
      </c>
      <c r="W31" s="15">
        <f t="shared" si="2"/>
        <v>0.75</v>
      </c>
      <c r="X31" s="7">
        <v>30</v>
      </c>
      <c r="Y31" s="7">
        <v>0</v>
      </c>
      <c r="Z31" s="7">
        <f t="shared" si="5"/>
        <v>30</v>
      </c>
      <c r="AA31" s="6" t="s">
        <v>4</v>
      </c>
      <c r="AB31" s="1" t="s">
        <v>521</v>
      </c>
      <c r="AC31" s="1" t="s">
        <v>521</v>
      </c>
      <c r="AD31" s="6"/>
      <c r="AE31" s="6"/>
      <c r="AL31" s="6"/>
    </row>
    <row r="32" spans="1:38" x14ac:dyDescent="0.25">
      <c r="A32" s="63"/>
      <c r="B32" s="54"/>
      <c r="C32" s="54"/>
      <c r="D32" s="54"/>
      <c r="E32" s="56"/>
      <c r="F32" s="56"/>
      <c r="G32" s="53"/>
      <c r="H32" s="172"/>
      <c r="I32" s="173"/>
      <c r="J32" s="174"/>
      <c r="K32" s="53"/>
      <c r="L32" s="56" t="str">
        <f>IF(H32="","",G32*K32)</f>
        <v/>
      </c>
      <c r="M32" s="56"/>
      <c r="N32" s="8">
        <v>31</v>
      </c>
      <c r="O32" s="6" t="s">
        <v>114</v>
      </c>
      <c r="P32" s="6" t="s">
        <v>332</v>
      </c>
      <c r="Q32" s="6" t="s">
        <v>7</v>
      </c>
      <c r="R32" s="6"/>
      <c r="S32" s="6" t="s">
        <v>327</v>
      </c>
      <c r="T32" s="7">
        <v>1</v>
      </c>
      <c r="U32" s="7">
        <v>25</v>
      </c>
      <c r="V32" s="7">
        <v>60</v>
      </c>
      <c r="W32" s="15">
        <f t="shared" si="2"/>
        <v>1</v>
      </c>
      <c r="X32" s="7">
        <v>30</v>
      </c>
      <c r="Y32" s="7">
        <v>0</v>
      </c>
      <c r="Z32" s="7">
        <f t="shared" si="5"/>
        <v>30</v>
      </c>
      <c r="AA32" s="6" t="s">
        <v>115</v>
      </c>
      <c r="AB32" s="1" t="s">
        <v>462</v>
      </c>
      <c r="AC32" s="1" t="s">
        <v>462</v>
      </c>
      <c r="AD32" s="6"/>
      <c r="AE32" s="6"/>
    </row>
    <row r="33" spans="1:38" x14ac:dyDescent="0.25">
      <c r="A33" s="33"/>
      <c r="B33" s="63"/>
      <c r="C33" s="54"/>
      <c r="D33" s="54"/>
      <c r="E33" s="63"/>
      <c r="F33" s="56"/>
      <c r="G33" s="54"/>
      <c r="H33" s="58" t="s">
        <v>120</v>
      </c>
      <c r="I33" s="54"/>
      <c r="J33" s="54"/>
      <c r="K33" s="54"/>
      <c r="L33" s="54"/>
      <c r="M33" s="56"/>
      <c r="N33" s="8">
        <v>32</v>
      </c>
      <c r="O33" s="6" t="s">
        <v>447</v>
      </c>
      <c r="P33" s="6" t="s">
        <v>448</v>
      </c>
      <c r="Q33" s="1" t="s">
        <v>7</v>
      </c>
      <c r="R33" s="27"/>
      <c r="S33" s="6" t="s">
        <v>326</v>
      </c>
      <c r="T33" s="7">
        <f>20/60</f>
        <v>0.33333333333333331</v>
      </c>
      <c r="U33" s="7">
        <v>0.5</v>
      </c>
      <c r="V33" s="27">
        <v>0</v>
      </c>
      <c r="W33" s="15">
        <f t="shared" si="2"/>
        <v>0</v>
      </c>
      <c r="X33" s="7">
        <v>0</v>
      </c>
      <c r="Y33" s="7">
        <v>5</v>
      </c>
      <c r="Z33" s="7">
        <f t="shared" si="5"/>
        <v>5</v>
      </c>
      <c r="AA33" s="6" t="s">
        <v>3</v>
      </c>
      <c r="AB33" s="1" t="s">
        <v>450</v>
      </c>
      <c r="AC33" s="1" t="s">
        <v>449</v>
      </c>
      <c r="AD33" s="6"/>
      <c r="AE33" s="6"/>
    </row>
    <row r="34" spans="1:38" x14ac:dyDescent="0.25">
      <c r="A34" s="33"/>
      <c r="B34" s="63"/>
      <c r="C34" s="54"/>
      <c r="D34" s="54"/>
      <c r="E34" s="63"/>
      <c r="F34" s="56"/>
      <c r="G34" s="180"/>
      <c r="H34" s="181"/>
      <c r="I34" s="181"/>
      <c r="J34" s="182"/>
      <c r="K34" s="54"/>
      <c r="L34" s="51"/>
      <c r="M34" s="56"/>
      <c r="N34" s="8">
        <v>33</v>
      </c>
      <c r="AD34" s="6"/>
      <c r="AE34" s="6"/>
    </row>
    <row r="35" spans="1:38" x14ac:dyDescent="0.25">
      <c r="A35" s="33"/>
      <c r="B35" s="63"/>
      <c r="C35" s="54"/>
      <c r="D35" s="54"/>
      <c r="E35" s="63"/>
      <c r="F35" s="56"/>
      <c r="G35" s="180"/>
      <c r="H35" s="181"/>
      <c r="I35" s="181"/>
      <c r="J35" s="182"/>
      <c r="K35" s="54"/>
      <c r="L35" s="51"/>
      <c r="M35" s="56"/>
      <c r="N35" s="8">
        <v>34</v>
      </c>
      <c r="P35" s="6"/>
      <c r="R35" s="27"/>
      <c r="T35" s="7"/>
      <c r="U35" s="27"/>
      <c r="V35" s="27"/>
      <c r="W35" s="15"/>
      <c r="X35" s="7"/>
      <c r="Y35" s="27"/>
      <c r="Z35" s="7"/>
      <c r="AA35" s="6"/>
      <c r="AB35" s="24"/>
      <c r="AC35" s="6"/>
      <c r="AD35" s="6"/>
      <c r="AE35" s="6"/>
      <c r="AL35" s="6"/>
    </row>
    <row r="36" spans="1:38" x14ac:dyDescent="0.25">
      <c r="A36" s="33"/>
      <c r="B36" s="63"/>
      <c r="C36" s="54"/>
      <c r="D36" s="54"/>
      <c r="E36" s="63"/>
      <c r="F36" s="56"/>
      <c r="G36" s="180"/>
      <c r="H36" s="181"/>
      <c r="I36" s="181"/>
      <c r="J36" s="182"/>
      <c r="K36" s="54"/>
      <c r="L36" s="51"/>
      <c r="M36" s="56"/>
      <c r="N36" s="8">
        <v>35</v>
      </c>
      <c r="P36" s="6"/>
      <c r="R36" s="27"/>
      <c r="T36" s="7"/>
      <c r="U36" s="27"/>
      <c r="V36" s="27"/>
      <c r="W36" s="15"/>
      <c r="X36" s="7"/>
      <c r="Y36" s="27"/>
      <c r="Z36" s="7"/>
      <c r="AA36" s="6"/>
      <c r="AB36" s="24"/>
      <c r="AC36" s="6"/>
      <c r="AD36" s="6"/>
      <c r="AE36" s="6"/>
      <c r="AL36" s="6"/>
    </row>
    <row r="37" spans="1:38" x14ac:dyDescent="0.25">
      <c r="A37" s="33"/>
      <c r="B37" s="63"/>
      <c r="C37" s="54"/>
      <c r="D37" s="54"/>
      <c r="E37" s="63"/>
      <c r="F37" s="56"/>
      <c r="G37" s="54"/>
      <c r="H37" s="54"/>
      <c r="I37" s="54"/>
      <c r="J37" s="54"/>
      <c r="K37" s="54"/>
      <c r="L37" s="56"/>
      <c r="M37" s="56"/>
      <c r="N37" s="8">
        <v>36</v>
      </c>
      <c r="P37" s="6"/>
      <c r="R37" s="27"/>
      <c r="T37" s="7"/>
      <c r="U37" s="27"/>
      <c r="V37" s="27"/>
      <c r="W37" s="15"/>
      <c r="X37" s="7"/>
      <c r="Y37" s="27"/>
      <c r="Z37" s="7"/>
      <c r="AA37" s="6"/>
      <c r="AB37" s="24"/>
      <c r="AC37" s="6"/>
      <c r="AD37" s="6"/>
      <c r="AE37" s="6"/>
      <c r="AL37" s="6"/>
    </row>
    <row r="38" spans="1:38" x14ac:dyDescent="0.25">
      <c r="A38" s="33"/>
      <c r="B38" s="63"/>
      <c r="C38" s="54"/>
      <c r="D38" s="54"/>
      <c r="E38" s="63"/>
      <c r="F38" s="56"/>
      <c r="G38" s="54"/>
      <c r="H38" s="69" t="s">
        <v>76</v>
      </c>
      <c r="I38" s="54"/>
      <c r="J38" s="54"/>
      <c r="K38" s="54"/>
      <c r="L38" s="70">
        <f>SUM(L4:L37)</f>
        <v>0</v>
      </c>
      <c r="M38" s="56"/>
      <c r="N38" s="8">
        <v>37</v>
      </c>
      <c r="P38" s="6"/>
      <c r="R38" s="27"/>
      <c r="T38" s="7"/>
      <c r="U38" s="27"/>
      <c r="V38" s="27"/>
      <c r="W38" s="15"/>
      <c r="X38" s="7"/>
      <c r="Y38" s="27"/>
      <c r="Z38" s="7"/>
      <c r="AA38" s="6"/>
      <c r="AB38" s="24"/>
      <c r="AC38" s="6"/>
      <c r="AD38" s="6"/>
      <c r="AE38" s="6"/>
      <c r="AL38" s="6"/>
    </row>
    <row r="39" spans="1:38" x14ac:dyDescent="0.25">
      <c r="A39" s="33"/>
      <c r="B39" s="63"/>
      <c r="C39" s="54"/>
      <c r="D39" s="54"/>
      <c r="E39" s="63"/>
      <c r="F39" s="63"/>
      <c r="G39" s="63"/>
      <c r="H39" s="82" t="s">
        <v>78</v>
      </c>
      <c r="I39" s="106"/>
      <c r="J39" s="106"/>
      <c r="K39" s="106"/>
      <c r="L39" s="107">
        <f>E40</f>
        <v>0</v>
      </c>
      <c r="M39" s="7"/>
      <c r="N39" s="8">
        <v>38</v>
      </c>
      <c r="O39" s="6"/>
      <c r="P39" s="7"/>
      <c r="Q39" s="6"/>
      <c r="R39" s="6"/>
      <c r="S39" s="6"/>
      <c r="T39" s="7"/>
      <c r="U39" s="7"/>
      <c r="V39" s="7"/>
      <c r="W39" s="15"/>
      <c r="X39" s="7"/>
      <c r="Y39" s="7"/>
      <c r="Z39" s="7"/>
      <c r="AA39" s="6"/>
      <c r="AB39" s="24"/>
      <c r="AC39" s="6"/>
      <c r="AD39" s="6"/>
      <c r="AE39" s="6"/>
      <c r="AL39" s="6"/>
    </row>
    <row r="40" spans="1:38" ht="15.75" thickBot="1" x14ac:dyDescent="0.3">
      <c r="A40" s="58"/>
      <c r="B40" s="82" t="s">
        <v>78</v>
      </c>
      <c r="C40" s="82"/>
      <c r="D40" s="82"/>
      <c r="E40" s="83">
        <f>SUM(E4:F39)</f>
        <v>0</v>
      </c>
      <c r="F40" s="63"/>
      <c r="G40" s="63"/>
      <c r="H40" s="71" t="s">
        <v>77</v>
      </c>
      <c r="I40" s="108"/>
      <c r="J40" s="108"/>
      <c r="K40" s="108"/>
      <c r="L40" s="72">
        <f>SUM(L38:L39)</f>
        <v>0</v>
      </c>
      <c r="M40" s="7"/>
      <c r="N40" s="8">
        <v>39</v>
      </c>
      <c r="O40" s="6"/>
      <c r="P40" s="7"/>
      <c r="Q40" s="6"/>
      <c r="R40" s="6"/>
      <c r="S40" s="6"/>
      <c r="T40" s="7"/>
      <c r="U40" s="7"/>
      <c r="V40" s="7"/>
      <c r="W40" s="15"/>
      <c r="X40" s="7"/>
      <c r="Y40" s="6"/>
      <c r="Z40" s="7"/>
      <c r="AA40" s="6"/>
      <c r="AB40" s="24"/>
      <c r="AC40" s="6"/>
      <c r="AD40" s="6"/>
      <c r="AE40" s="6"/>
      <c r="AL40" s="6"/>
    </row>
    <row r="41" spans="1:38" ht="15.75" thickTop="1" x14ac:dyDescent="0.25">
      <c r="A41" s="17"/>
      <c r="B41" s="49"/>
      <c r="C41" s="17"/>
      <c r="D41" s="17"/>
      <c r="F41" s="6"/>
      <c r="M41" s="7"/>
      <c r="N41" s="8">
        <v>40</v>
      </c>
      <c r="O41" s="6"/>
      <c r="P41" s="7"/>
      <c r="Q41" s="6"/>
      <c r="R41" s="6"/>
      <c r="S41" s="6"/>
      <c r="T41" s="7"/>
      <c r="U41" s="7"/>
      <c r="V41" s="7"/>
      <c r="W41" s="15"/>
      <c r="X41" s="13"/>
      <c r="Y41" s="13"/>
      <c r="Z41" s="7"/>
      <c r="AA41" s="6"/>
      <c r="AB41" s="24"/>
      <c r="AC41" s="6"/>
      <c r="AD41" s="6"/>
      <c r="AE41" s="6"/>
      <c r="AL41" s="6"/>
    </row>
    <row r="42" spans="1:38" x14ac:dyDescent="0.25">
      <c r="A42" s="17"/>
      <c r="B42" s="49"/>
      <c r="C42" s="17"/>
      <c r="D42" s="17"/>
      <c r="F42" s="7"/>
      <c r="M42" s="7"/>
      <c r="N42" s="8">
        <v>41</v>
      </c>
      <c r="O42" s="6"/>
      <c r="P42" s="7"/>
      <c r="Q42" s="6"/>
      <c r="R42" s="6"/>
      <c r="S42" s="6"/>
      <c r="T42" s="7"/>
      <c r="U42" s="7"/>
      <c r="V42" s="7"/>
      <c r="W42" s="15"/>
      <c r="X42" s="7"/>
      <c r="Y42" s="7"/>
      <c r="Z42" s="7"/>
      <c r="AA42" s="6"/>
      <c r="AB42" s="24"/>
      <c r="AC42" s="6"/>
      <c r="AD42" s="6"/>
      <c r="AE42" s="6"/>
    </row>
    <row r="43" spans="1:38" x14ac:dyDescent="0.25">
      <c r="A43" s="17"/>
      <c r="B43" s="49"/>
      <c r="C43" s="17"/>
      <c r="D43" s="17"/>
      <c r="F43" s="7"/>
      <c r="G43" s="6"/>
      <c r="H43" s="6"/>
      <c r="I43" s="6"/>
      <c r="J43" s="6"/>
      <c r="K43" s="6"/>
      <c r="L43" s="7"/>
      <c r="M43" s="7"/>
      <c r="N43" s="8">
        <v>42</v>
      </c>
      <c r="O43" s="6"/>
      <c r="P43" s="7"/>
      <c r="Q43" s="6"/>
      <c r="R43" s="7"/>
      <c r="S43" s="7"/>
      <c r="T43" s="7"/>
      <c r="U43" s="7"/>
      <c r="V43" s="7"/>
      <c r="W43" s="15"/>
      <c r="X43" s="7"/>
      <c r="Y43" s="7"/>
      <c r="Z43" s="7"/>
      <c r="AA43" s="6"/>
      <c r="AB43" s="24"/>
      <c r="AC43" s="6"/>
      <c r="AD43" s="6"/>
      <c r="AE43" s="6"/>
      <c r="AL43" s="7"/>
    </row>
    <row r="44" spans="1:38" x14ac:dyDescent="0.25">
      <c r="A44" s="17"/>
      <c r="B44" s="49"/>
      <c r="C44" s="17"/>
      <c r="D44" s="17"/>
      <c r="F44" s="7"/>
      <c r="G44" s="6"/>
      <c r="H44" s="6"/>
      <c r="L44" s="27"/>
      <c r="M44" s="6"/>
      <c r="N44" s="8">
        <v>43</v>
      </c>
      <c r="P44" s="7"/>
      <c r="R44" s="27"/>
      <c r="T44" s="27"/>
      <c r="U44" s="27"/>
      <c r="V44" s="27"/>
      <c r="W44" s="15"/>
      <c r="X44" s="7"/>
      <c r="Y44" s="27"/>
      <c r="Z44" s="7"/>
      <c r="AA44" s="6"/>
      <c r="AB44" s="24"/>
      <c r="AC44" s="6"/>
      <c r="AD44" s="6"/>
      <c r="AE44" s="6"/>
      <c r="AL44" s="7"/>
    </row>
    <row r="45" spans="1:38" x14ac:dyDescent="0.25">
      <c r="A45" s="17"/>
      <c r="B45" s="49"/>
      <c r="C45" s="17"/>
      <c r="D45" s="17"/>
      <c r="F45" s="7"/>
      <c r="H45" s="6"/>
      <c r="L45" s="48"/>
      <c r="M45" s="17"/>
      <c r="N45" s="8">
        <v>44</v>
      </c>
      <c r="O45" s="6"/>
      <c r="P45" s="7"/>
      <c r="Q45" s="7"/>
      <c r="R45" s="7"/>
      <c r="S45" s="13"/>
      <c r="T45" s="13"/>
      <c r="U45" s="13"/>
      <c r="V45" s="13"/>
      <c r="W45" s="15"/>
      <c r="X45" s="13"/>
      <c r="Y45" s="13"/>
      <c r="Z45" s="13"/>
      <c r="AA45" s="6"/>
      <c r="AB45" s="24"/>
      <c r="AC45" s="6"/>
      <c r="AD45" s="6"/>
      <c r="AE45" s="6"/>
      <c r="AL45" s="7"/>
    </row>
    <row r="46" spans="1:38" x14ac:dyDescent="0.25">
      <c r="A46" s="17"/>
      <c r="B46" s="49"/>
      <c r="C46" s="17"/>
      <c r="D46" s="17"/>
      <c r="F46" s="6"/>
      <c r="G46" s="6"/>
      <c r="H46" s="6"/>
      <c r="L46" s="27"/>
      <c r="M46" s="17"/>
      <c r="N46" s="8">
        <v>45</v>
      </c>
      <c r="O46" s="6"/>
      <c r="P46" s="7"/>
      <c r="Q46" s="7"/>
      <c r="R46" s="7"/>
      <c r="S46" s="13"/>
      <c r="T46" s="13"/>
      <c r="U46" s="13"/>
      <c r="V46" s="13"/>
      <c r="W46" s="15"/>
      <c r="X46" s="13"/>
      <c r="Y46" s="13"/>
      <c r="Z46" s="13"/>
      <c r="AA46" s="6"/>
      <c r="AB46" s="24"/>
      <c r="AC46" s="6"/>
      <c r="AD46" s="6"/>
      <c r="AE46" s="6"/>
      <c r="AL46" s="7"/>
    </row>
    <row r="47" spans="1:38" x14ac:dyDescent="0.25">
      <c r="A47" s="17"/>
      <c r="B47" s="49"/>
      <c r="C47" s="17"/>
      <c r="D47" s="17"/>
      <c r="F47" s="18"/>
      <c r="H47" s="6"/>
      <c r="L47" s="48"/>
      <c r="M47" s="18"/>
      <c r="N47" s="8">
        <v>46</v>
      </c>
      <c r="O47" s="6"/>
      <c r="P47" s="7"/>
      <c r="Q47" s="7"/>
      <c r="R47" s="7"/>
      <c r="S47" s="13"/>
      <c r="T47" s="13"/>
      <c r="U47" s="13"/>
      <c r="V47" s="13"/>
      <c r="W47" s="15"/>
      <c r="X47" s="13"/>
      <c r="Y47" s="13"/>
      <c r="Z47" s="13"/>
      <c r="AA47" s="6"/>
      <c r="AB47" s="24"/>
      <c r="AC47" s="6"/>
      <c r="AD47" s="6"/>
      <c r="AE47" s="6"/>
      <c r="AL47" s="6"/>
    </row>
    <row r="48" spans="1:38" x14ac:dyDescent="0.25">
      <c r="A48" s="17"/>
      <c r="B48" s="49"/>
      <c r="C48" s="17"/>
      <c r="D48" s="17"/>
      <c r="F48" s="6"/>
      <c r="G48" s="6"/>
      <c r="H48" s="6"/>
      <c r="I48" s="19"/>
      <c r="K48" s="47"/>
      <c r="L48" s="30"/>
      <c r="M48" s="6"/>
      <c r="N48" s="8">
        <v>47</v>
      </c>
      <c r="O48" s="14"/>
      <c r="P48" s="7"/>
      <c r="Q48" s="7"/>
      <c r="R48" s="7"/>
      <c r="S48" s="13"/>
      <c r="T48" s="13"/>
      <c r="U48" s="13"/>
      <c r="V48" s="13"/>
      <c r="W48" s="15"/>
      <c r="X48" s="7"/>
      <c r="Y48" s="7"/>
      <c r="Z48" s="7"/>
      <c r="AA48" s="6"/>
      <c r="AB48" s="24"/>
      <c r="AC48" s="6"/>
      <c r="AD48" s="6"/>
      <c r="AE48" s="6"/>
      <c r="AL48" s="6"/>
    </row>
    <row r="49" spans="1:38" x14ac:dyDescent="0.25">
      <c r="A49" s="17"/>
      <c r="B49" s="49"/>
      <c r="C49" s="17"/>
      <c r="D49" s="17"/>
      <c r="F49" s="18"/>
      <c r="G49" s="6"/>
      <c r="H49" s="14"/>
      <c r="I49" s="179"/>
      <c r="J49" s="179"/>
      <c r="K49" s="6"/>
      <c r="L49" s="18"/>
      <c r="M49" s="18"/>
      <c r="N49" s="8">
        <v>48</v>
      </c>
      <c r="O49" s="6"/>
      <c r="Q49" s="6"/>
      <c r="R49" s="6"/>
      <c r="S49" s="6"/>
      <c r="T49" s="7"/>
      <c r="U49" s="7"/>
      <c r="V49" s="7"/>
      <c r="W49" s="15"/>
      <c r="X49" s="7"/>
      <c r="Y49" s="7"/>
      <c r="Z49" s="7"/>
      <c r="AA49" s="6"/>
      <c r="AB49" s="24"/>
      <c r="AC49" s="6"/>
      <c r="AD49" s="6"/>
      <c r="AE49" s="6"/>
      <c r="AL49" s="6"/>
    </row>
    <row r="50" spans="1:38" x14ac:dyDescent="0.25">
      <c r="A50" s="17"/>
      <c r="B50" s="49"/>
      <c r="C50" s="17"/>
      <c r="D50" s="17"/>
      <c r="F50" s="6"/>
      <c r="M50" s="18"/>
      <c r="N50" s="8">
        <v>49</v>
      </c>
      <c r="O50" s="20"/>
      <c r="P50" s="7"/>
      <c r="Q50" s="6"/>
      <c r="R50" s="6"/>
      <c r="S50" s="6"/>
      <c r="T50" s="6"/>
      <c r="U50" s="7"/>
      <c r="V50" s="7"/>
      <c r="W50" s="15"/>
      <c r="X50" s="7"/>
      <c r="Y50" s="7"/>
      <c r="Z50" s="7"/>
      <c r="AA50" s="6"/>
      <c r="AB50" s="24"/>
      <c r="AC50" s="6"/>
      <c r="AD50" s="6"/>
      <c r="AE50" s="6"/>
      <c r="AL50" s="6"/>
    </row>
    <row r="51" spans="1:38" x14ac:dyDescent="0.25">
      <c r="A51" s="17"/>
      <c r="B51" s="49"/>
      <c r="C51" s="17"/>
      <c r="D51" s="17"/>
      <c r="F51" s="6"/>
      <c r="G51" s="50"/>
      <c r="H51" s="6"/>
      <c r="I51" s="6"/>
      <c r="J51" s="16"/>
      <c r="K51" s="6"/>
      <c r="M51" s="18"/>
      <c r="N51" s="8">
        <v>50</v>
      </c>
      <c r="O51" s="6"/>
      <c r="P51" s="7"/>
      <c r="Q51" s="6"/>
      <c r="R51" s="6"/>
      <c r="S51" s="6"/>
      <c r="T51" s="6"/>
      <c r="U51" s="7"/>
      <c r="V51" s="7"/>
      <c r="W51" s="15"/>
      <c r="X51" s="7"/>
      <c r="Y51" s="7"/>
      <c r="Z51" s="7"/>
      <c r="AA51" s="6"/>
      <c r="AB51" s="24"/>
      <c r="AC51" s="6"/>
      <c r="AD51" s="6"/>
      <c r="AE51" s="6"/>
    </row>
    <row r="52" spans="1:38" x14ac:dyDescent="0.25">
      <c r="A52" s="17"/>
      <c r="B52" s="49"/>
      <c r="C52" s="17"/>
      <c r="D52" s="17"/>
      <c r="F52" s="6"/>
      <c r="G52" s="7"/>
      <c r="H52" s="6"/>
      <c r="I52" s="6"/>
      <c r="J52" s="16"/>
      <c r="K52" s="6"/>
      <c r="L52" s="7"/>
      <c r="M52" s="18"/>
      <c r="N52" s="8">
        <v>51</v>
      </c>
      <c r="O52" s="6"/>
      <c r="P52" s="7"/>
      <c r="Q52" s="6"/>
      <c r="R52" s="6"/>
      <c r="S52" s="6"/>
      <c r="T52" s="6"/>
      <c r="U52" s="7"/>
      <c r="V52" s="7"/>
      <c r="W52" s="15"/>
      <c r="X52" s="7"/>
      <c r="Y52" s="7"/>
      <c r="Z52" s="7"/>
      <c r="AA52" s="6"/>
      <c r="AB52" s="24"/>
      <c r="AC52" s="6"/>
      <c r="AD52" s="6"/>
      <c r="AE52" s="6"/>
    </row>
    <row r="53" spans="1:38" x14ac:dyDescent="0.25">
      <c r="A53" s="17"/>
      <c r="B53" s="49"/>
      <c r="C53" s="17"/>
      <c r="D53" s="17"/>
      <c r="F53" s="6"/>
      <c r="G53" s="6"/>
      <c r="H53" s="6"/>
      <c r="I53" s="6"/>
      <c r="J53" s="16"/>
      <c r="K53" s="6"/>
      <c r="L53" s="7"/>
      <c r="M53" s="18"/>
      <c r="N53" s="8">
        <v>52</v>
      </c>
      <c r="P53" s="7"/>
      <c r="T53" s="7"/>
      <c r="U53" s="7"/>
      <c r="V53" s="7"/>
      <c r="W53" s="15"/>
      <c r="X53" s="7"/>
      <c r="Y53" s="27"/>
      <c r="Z53" s="7"/>
      <c r="AA53" s="6"/>
      <c r="AB53" s="24"/>
      <c r="AC53" s="6"/>
      <c r="AD53" s="6"/>
      <c r="AE53" s="6"/>
    </row>
    <row r="54" spans="1:38" x14ac:dyDescent="0.25">
      <c r="A54" s="17"/>
      <c r="B54" s="49"/>
      <c r="C54" s="17"/>
      <c r="D54" s="17"/>
      <c r="F54" s="6"/>
      <c r="G54" s="6"/>
      <c r="H54" s="6"/>
      <c r="I54" s="6"/>
      <c r="J54" s="8"/>
      <c r="K54" s="6"/>
      <c r="L54" s="18"/>
      <c r="M54" s="18"/>
      <c r="N54" s="8">
        <v>53</v>
      </c>
      <c r="P54" s="7"/>
      <c r="T54" s="27"/>
      <c r="U54" s="27"/>
      <c r="V54" s="27"/>
      <c r="W54" s="15"/>
      <c r="X54" s="7"/>
      <c r="Y54" s="27"/>
      <c r="Z54" s="7"/>
      <c r="AA54" s="6"/>
      <c r="AB54" s="24"/>
      <c r="AC54" s="6"/>
      <c r="AD54" s="6"/>
      <c r="AE54" s="6"/>
    </row>
    <row r="55" spans="1:38" x14ac:dyDescent="0.25">
      <c r="A55" s="17"/>
      <c r="B55" s="49"/>
      <c r="C55" s="17"/>
      <c r="D55" s="17"/>
      <c r="E55" s="6"/>
      <c r="F55" s="6"/>
      <c r="G55" s="6"/>
      <c r="H55" s="32"/>
      <c r="I55" s="8"/>
      <c r="J55" s="5"/>
      <c r="K55" s="6"/>
      <c r="L55" s="6"/>
      <c r="M55" s="6"/>
      <c r="N55" s="8">
        <v>54</v>
      </c>
      <c r="P55" s="7"/>
      <c r="T55" s="24"/>
      <c r="U55" s="7"/>
      <c r="V55" s="24"/>
      <c r="W55" s="15"/>
      <c r="X55" s="7"/>
      <c r="Y55" s="27"/>
      <c r="Z55" s="7"/>
      <c r="AA55" s="6"/>
      <c r="AB55" s="24"/>
      <c r="AC55" s="6"/>
      <c r="AD55" s="6"/>
      <c r="AE55" s="6"/>
    </row>
    <row r="56" spans="1:38" x14ac:dyDescent="0.25">
      <c r="B56" s="6"/>
      <c r="C56" s="6"/>
      <c r="D56" s="6"/>
      <c r="E56" s="7"/>
      <c r="F56" s="6"/>
      <c r="G56" s="6"/>
      <c r="H56" s="171"/>
      <c r="I56" s="171"/>
      <c r="J56" s="171"/>
      <c r="K56" s="6"/>
      <c r="L56" s="6"/>
      <c r="M56" s="6"/>
      <c r="N56" s="6">
        <v>55</v>
      </c>
      <c r="P56" s="7"/>
      <c r="T56" s="24"/>
      <c r="U56" s="7"/>
      <c r="V56" s="24"/>
      <c r="W56" s="15"/>
      <c r="X56" s="7"/>
      <c r="Y56" s="27"/>
      <c r="Z56" s="7"/>
      <c r="AA56" s="6"/>
      <c r="AB56" s="24"/>
      <c r="AC56" s="6"/>
      <c r="AD56" s="6"/>
      <c r="AE56" s="6"/>
      <c r="AL56" s="6"/>
    </row>
    <row r="57" spans="1:38" x14ac:dyDescent="0.25">
      <c r="A57" s="17"/>
      <c r="B57" s="49"/>
      <c r="C57" s="17"/>
      <c r="D57" s="17"/>
      <c r="E57" s="7"/>
      <c r="F57" s="6"/>
      <c r="G57" s="6"/>
      <c r="H57" s="32"/>
      <c r="I57" s="14"/>
      <c r="J57" s="22"/>
      <c r="K57" s="6"/>
      <c r="L57" s="6"/>
      <c r="M57" s="6"/>
      <c r="N57" s="6">
        <v>56</v>
      </c>
      <c r="O57" s="24"/>
      <c r="P57" s="6"/>
      <c r="Q57" s="6"/>
      <c r="R57" s="6"/>
      <c r="S57" s="6"/>
      <c r="T57" s="7"/>
      <c r="U57" s="7"/>
      <c r="V57" s="7"/>
      <c r="W57" s="15"/>
      <c r="X57" s="7"/>
      <c r="Y57" s="7"/>
      <c r="Z57" s="7"/>
      <c r="AA57" s="6"/>
      <c r="AB57" s="24"/>
      <c r="AC57" s="6"/>
      <c r="AD57" s="6"/>
      <c r="AE57" s="6"/>
      <c r="AL57" s="6"/>
    </row>
    <row r="58" spans="1:38" x14ac:dyDescent="0.25">
      <c r="A58" s="17"/>
      <c r="B58" s="49"/>
      <c r="C58" s="17"/>
      <c r="D58" s="17"/>
      <c r="E58" s="7"/>
      <c r="F58" s="6"/>
      <c r="G58" s="6"/>
      <c r="H58" s="171"/>
      <c r="I58" s="171"/>
      <c r="J58" s="171"/>
      <c r="K58" s="6"/>
      <c r="L58" s="6"/>
      <c r="M58" s="6"/>
      <c r="N58" s="6">
        <v>57</v>
      </c>
      <c r="O58" s="6"/>
      <c r="P58" s="6"/>
      <c r="Q58" s="6"/>
      <c r="R58" s="6"/>
      <c r="S58" s="45"/>
      <c r="T58" s="7"/>
      <c r="U58" s="7"/>
      <c r="V58" s="7"/>
      <c r="W58" s="15"/>
      <c r="X58" s="7"/>
      <c r="Y58" s="7"/>
      <c r="Z58" s="7"/>
      <c r="AA58" s="6"/>
      <c r="AB58" s="24"/>
      <c r="AC58" s="6"/>
      <c r="AD58" s="6"/>
      <c r="AE58" s="6"/>
      <c r="AL58" s="6"/>
    </row>
    <row r="59" spans="1:38" x14ac:dyDescent="0.25">
      <c r="A59" s="17"/>
      <c r="B59" s="49"/>
      <c r="C59" s="17"/>
      <c r="D59" s="17"/>
      <c r="E59" s="7"/>
      <c r="F59" s="6"/>
      <c r="G59" s="7"/>
      <c r="H59" s="24"/>
      <c r="K59" s="6"/>
      <c r="L59" s="6"/>
      <c r="M59" s="6"/>
      <c r="N59" s="6">
        <v>58</v>
      </c>
      <c r="O59" s="6"/>
      <c r="P59" s="6"/>
      <c r="Q59" s="6"/>
      <c r="R59" s="6"/>
      <c r="S59" s="6"/>
      <c r="T59" s="7"/>
      <c r="U59" s="7"/>
      <c r="V59" s="7"/>
      <c r="W59" s="15"/>
      <c r="X59" s="7"/>
      <c r="Y59" s="7"/>
      <c r="Z59" s="7"/>
      <c r="AA59" s="6"/>
      <c r="AB59" s="24"/>
      <c r="AC59" s="6"/>
      <c r="AD59" s="6"/>
      <c r="AE59" s="6"/>
      <c r="AL59" s="6"/>
    </row>
    <row r="60" spans="1:38" x14ac:dyDescent="0.25">
      <c r="B60" s="6"/>
      <c r="C60" s="6"/>
      <c r="D60" s="6"/>
      <c r="E60" s="7"/>
      <c r="F60" s="6"/>
      <c r="G60" s="7"/>
      <c r="H60" s="46"/>
      <c r="I60" s="163"/>
      <c r="J60" s="163"/>
      <c r="M60" s="163"/>
      <c r="N60" s="6">
        <v>59</v>
      </c>
      <c r="P60" s="6"/>
      <c r="Q60" s="6"/>
      <c r="R60" s="6"/>
      <c r="T60" s="24"/>
      <c r="U60" s="7"/>
      <c r="V60" s="7"/>
      <c r="W60" s="15"/>
      <c r="X60" s="7"/>
      <c r="Y60" s="27"/>
      <c r="Z60" s="7"/>
      <c r="AA60" s="6"/>
      <c r="AB60" s="24"/>
      <c r="AC60" s="6"/>
      <c r="AD60" s="6"/>
      <c r="AE60" s="6"/>
      <c r="AL60" s="6"/>
    </row>
    <row r="61" spans="1:38" x14ac:dyDescent="0.25">
      <c r="F61" s="6"/>
      <c r="G61" s="6"/>
      <c r="H61" s="14"/>
      <c r="I61" s="14"/>
      <c r="J61" s="22"/>
      <c r="M61" s="6"/>
      <c r="N61" s="6">
        <v>60</v>
      </c>
      <c r="O61" s="6"/>
      <c r="P61" s="6"/>
      <c r="Q61" s="6"/>
      <c r="R61" s="6"/>
      <c r="S61" s="6"/>
      <c r="T61" s="24"/>
      <c r="U61" s="13"/>
      <c r="V61" s="13"/>
      <c r="W61" s="15"/>
      <c r="X61" s="7"/>
      <c r="Y61" s="13"/>
      <c r="Z61" s="7"/>
      <c r="AA61" s="6"/>
      <c r="AB61" s="24"/>
      <c r="AC61" s="6"/>
      <c r="AD61" s="6"/>
      <c r="AE61" s="6"/>
      <c r="AL61" s="6"/>
    </row>
    <row r="62" spans="1:38" x14ac:dyDescent="0.25">
      <c r="C62" s="6"/>
      <c r="D62" s="6"/>
      <c r="E62" s="6"/>
      <c r="F62" s="6"/>
      <c r="G62" s="6"/>
      <c r="H62" s="14"/>
      <c r="I62" s="14"/>
      <c r="J62" s="22"/>
      <c r="K62" s="6"/>
      <c r="L62" s="18"/>
      <c r="M62" s="14"/>
      <c r="N62" s="163">
        <v>61</v>
      </c>
      <c r="U62" s="7"/>
      <c r="V62" s="13"/>
      <c r="W62" s="15"/>
      <c r="X62" s="7"/>
      <c r="Y62" s="7"/>
      <c r="Z62" s="7"/>
      <c r="AA62" s="6"/>
      <c r="AB62" s="24"/>
      <c r="AC62" s="6"/>
      <c r="AD62" s="6"/>
      <c r="AE62" s="6"/>
      <c r="AL62" s="6"/>
    </row>
    <row r="63" spans="1:38" x14ac:dyDescent="0.25">
      <c r="M63" s="6"/>
      <c r="N63" s="6">
        <v>62</v>
      </c>
      <c r="O63" s="6"/>
      <c r="P63" s="6"/>
      <c r="Q63" s="6"/>
      <c r="R63" s="6"/>
      <c r="S63" s="6"/>
      <c r="T63" s="24"/>
      <c r="U63" s="7"/>
      <c r="V63" s="13"/>
      <c r="W63" s="15"/>
      <c r="X63" s="7"/>
      <c r="Y63" s="7"/>
      <c r="Z63" s="7"/>
      <c r="AA63" s="6"/>
      <c r="AB63" s="24"/>
      <c r="AC63" s="6"/>
      <c r="AD63" s="6"/>
      <c r="AE63" s="6"/>
      <c r="AL63" s="6"/>
    </row>
    <row r="64" spans="1:38" x14ac:dyDescent="0.25">
      <c r="A64" s="6"/>
      <c r="C64" s="6"/>
      <c r="D64" s="6"/>
      <c r="E64" s="6"/>
      <c r="F64" s="6"/>
      <c r="G64" s="6"/>
      <c r="H64" s="164"/>
      <c r="I64" s="14"/>
      <c r="J64" s="22"/>
      <c r="K64" s="6"/>
      <c r="L64" s="18"/>
      <c r="M64" s="14"/>
      <c r="N64" s="6">
        <v>63</v>
      </c>
      <c r="O64" s="20"/>
      <c r="P64" s="6"/>
      <c r="Q64" s="6"/>
      <c r="R64" s="6"/>
      <c r="T64" s="6"/>
      <c r="U64" s="7"/>
      <c r="V64" s="7"/>
      <c r="W64" s="15"/>
      <c r="X64" s="7"/>
      <c r="Y64" s="7"/>
      <c r="Z64" s="7"/>
      <c r="AA64" s="6"/>
      <c r="AB64" s="24"/>
      <c r="AC64" s="6"/>
      <c r="AD64" s="6"/>
      <c r="AE64" s="6"/>
      <c r="AL64" s="6"/>
    </row>
    <row r="65" spans="1:38" x14ac:dyDescent="0.25">
      <c r="A65" s="6"/>
      <c r="B65" s="6"/>
      <c r="C65" s="6"/>
      <c r="D65" s="6"/>
      <c r="E65" s="6"/>
      <c r="F65" s="6"/>
      <c r="G65" s="6"/>
      <c r="H65" s="14"/>
      <c r="I65" s="14"/>
      <c r="J65" s="14"/>
      <c r="K65" s="14"/>
      <c r="L65" s="14"/>
      <c r="M65" s="14"/>
      <c r="N65" s="6">
        <v>64</v>
      </c>
      <c r="P65" s="6"/>
      <c r="Q65" s="6"/>
      <c r="R65" s="6"/>
      <c r="T65" s="7"/>
      <c r="U65" s="7"/>
      <c r="V65" s="7"/>
      <c r="W65" s="15"/>
      <c r="X65" s="7"/>
      <c r="Y65" s="27"/>
      <c r="Z65" s="7"/>
      <c r="AA65" s="6"/>
      <c r="AB65" s="24"/>
      <c r="AC65" s="6"/>
      <c r="AD65" s="6"/>
      <c r="AE65" s="6"/>
      <c r="AL65" s="6"/>
    </row>
    <row r="66" spans="1:38" x14ac:dyDescent="0.25">
      <c r="A66" s="6"/>
      <c r="B66" s="6"/>
      <c r="C66" s="6"/>
      <c r="D66" s="6"/>
      <c r="E66" s="6"/>
      <c r="F66" s="6"/>
      <c r="G66" s="6"/>
      <c r="H66" s="14"/>
      <c r="I66" s="14"/>
      <c r="J66" s="14"/>
      <c r="K66" s="14"/>
      <c r="L66" s="14"/>
      <c r="M66" s="14"/>
      <c r="N66" s="6">
        <v>65</v>
      </c>
      <c r="O66" s="6"/>
      <c r="P66" s="6"/>
      <c r="Q66" s="6"/>
      <c r="R66" s="6"/>
      <c r="S66" s="6"/>
      <c r="T66" s="7"/>
      <c r="U66" s="7"/>
      <c r="V66" s="7"/>
      <c r="W66" s="15"/>
      <c r="X66" s="7"/>
      <c r="Y66" s="7"/>
      <c r="Z66" s="7"/>
      <c r="AA66" s="6"/>
      <c r="AB66" s="24"/>
      <c r="AC66" s="6"/>
      <c r="AD66" s="6"/>
      <c r="AE66" s="6"/>
      <c r="AL66" s="6"/>
    </row>
    <row r="67" spans="1:38" x14ac:dyDescent="0.25">
      <c r="A67" s="6"/>
      <c r="B67" s="6"/>
      <c r="C67" s="6"/>
      <c r="D67" s="6"/>
      <c r="E67" s="6"/>
      <c r="F67" s="6"/>
      <c r="G67" s="6"/>
      <c r="H67" s="14"/>
      <c r="I67" s="14"/>
      <c r="J67" s="14"/>
      <c r="K67" s="14"/>
      <c r="L67" s="14"/>
      <c r="N67" s="6">
        <v>66</v>
      </c>
      <c r="O67" s="6"/>
      <c r="P67" s="6"/>
      <c r="Q67" s="6"/>
      <c r="R67" s="6"/>
      <c r="S67" s="6"/>
      <c r="T67" s="24"/>
      <c r="U67" s="13"/>
      <c r="V67" s="13"/>
      <c r="W67" s="15"/>
      <c r="X67" s="7"/>
      <c r="Y67" s="13"/>
      <c r="Z67" s="7"/>
      <c r="AA67" s="6"/>
      <c r="AB67" s="24"/>
      <c r="AL67" s="6"/>
    </row>
    <row r="68" spans="1:38" x14ac:dyDescent="0.25">
      <c r="A68" s="6"/>
      <c r="B68" s="6"/>
      <c r="C68" s="6"/>
      <c r="D68" s="6"/>
      <c r="E68" s="6"/>
      <c r="F68" s="6"/>
      <c r="G68" s="6"/>
      <c r="H68" s="14"/>
      <c r="I68" s="14"/>
      <c r="J68" s="14"/>
      <c r="K68" s="14"/>
      <c r="L68" s="14"/>
      <c r="N68" s="1">
        <v>67</v>
      </c>
      <c r="O68" s="6"/>
      <c r="P68" s="6"/>
      <c r="Q68" s="6"/>
      <c r="R68" s="6"/>
      <c r="S68" s="6"/>
      <c r="T68" s="7"/>
      <c r="U68" s="7"/>
      <c r="V68" s="7"/>
      <c r="W68" s="15"/>
      <c r="X68" s="7"/>
      <c r="Y68" s="7"/>
      <c r="Z68" s="7"/>
      <c r="AA68" s="6"/>
      <c r="AB68" s="24"/>
      <c r="AL68" s="6"/>
    </row>
    <row r="69" spans="1:38" x14ac:dyDescent="0.25">
      <c r="A69" s="6"/>
      <c r="B69" s="6"/>
      <c r="C69" s="6"/>
      <c r="D69" s="6"/>
      <c r="E69" s="6"/>
      <c r="F69" s="6"/>
      <c r="G69" s="6"/>
      <c r="H69" s="14"/>
      <c r="I69" s="14"/>
      <c r="J69" s="14"/>
      <c r="K69" s="14"/>
      <c r="L69" s="14"/>
      <c r="N69" s="1">
        <v>68</v>
      </c>
      <c r="O69" s="6"/>
      <c r="P69" s="6"/>
      <c r="Q69" s="6"/>
      <c r="R69" s="6"/>
      <c r="S69" s="6"/>
      <c r="T69" s="7"/>
      <c r="U69" s="7"/>
      <c r="V69" s="7"/>
      <c r="W69" s="15"/>
      <c r="X69" s="7"/>
      <c r="Y69" s="7"/>
      <c r="Z69" s="7"/>
      <c r="AA69" s="6"/>
      <c r="AB69" s="24"/>
      <c r="AL69" s="6"/>
    </row>
    <row r="70" spans="1:38" x14ac:dyDescent="0.25">
      <c r="A70" s="6"/>
      <c r="B70" s="6"/>
      <c r="C70" s="6"/>
      <c r="D70" s="6"/>
      <c r="E70" s="6"/>
      <c r="F70" s="6"/>
      <c r="G70" s="6"/>
      <c r="H70" s="14"/>
      <c r="I70" s="14"/>
      <c r="J70" s="14"/>
      <c r="K70" s="14"/>
      <c r="L70" s="14"/>
      <c r="N70" s="1">
        <v>69</v>
      </c>
      <c r="O70" s="6"/>
      <c r="P70" s="6"/>
      <c r="Q70" s="6"/>
      <c r="R70" s="6"/>
      <c r="S70" s="6"/>
      <c r="T70" s="7"/>
      <c r="U70" s="7"/>
      <c r="V70" s="7"/>
      <c r="W70" s="15"/>
      <c r="X70" s="7"/>
      <c r="Y70" s="7"/>
      <c r="Z70" s="7"/>
      <c r="AA70" s="6"/>
      <c r="AB70" s="24"/>
      <c r="AL70" s="6"/>
    </row>
    <row r="71" spans="1:38" x14ac:dyDescent="0.25">
      <c r="A71" s="6"/>
      <c r="B71" s="6"/>
      <c r="C71" s="6"/>
      <c r="D71" s="6"/>
      <c r="E71" s="6"/>
      <c r="F71" s="6"/>
      <c r="G71" s="6"/>
      <c r="H71" s="14"/>
      <c r="I71" s="14"/>
      <c r="J71" s="14"/>
      <c r="K71" s="14"/>
      <c r="L71" s="14"/>
      <c r="N71" s="1">
        <v>70</v>
      </c>
      <c r="O71" s="6"/>
      <c r="P71" s="6"/>
      <c r="Q71" s="6"/>
      <c r="R71" s="6"/>
      <c r="S71" s="6"/>
      <c r="T71" s="7"/>
      <c r="U71" s="7"/>
      <c r="V71" s="7"/>
      <c r="W71" s="15"/>
      <c r="X71" s="7"/>
      <c r="Y71" s="7"/>
      <c r="Z71" s="7"/>
      <c r="AA71" s="6"/>
      <c r="AB71" s="24"/>
    </row>
    <row r="72" spans="1:38" x14ac:dyDescent="0.25">
      <c r="A72" s="6"/>
      <c r="B72" s="6"/>
      <c r="C72" s="6"/>
      <c r="D72" s="6"/>
      <c r="E72" s="6"/>
      <c r="F72" s="6"/>
      <c r="G72" s="6"/>
      <c r="H72" s="14"/>
      <c r="I72" s="14"/>
      <c r="J72" s="14"/>
      <c r="K72" s="14"/>
      <c r="L72" s="14"/>
      <c r="N72" s="1">
        <v>71</v>
      </c>
      <c r="P72" s="6"/>
      <c r="T72" s="27"/>
      <c r="U72" s="27"/>
      <c r="V72" s="27"/>
      <c r="W72" s="15"/>
      <c r="X72" s="27"/>
      <c r="Y72" s="27"/>
      <c r="Z72" s="7"/>
      <c r="AA72" s="6"/>
      <c r="AB72" s="24"/>
      <c r="AL72" s="6"/>
    </row>
    <row r="73" spans="1:38" x14ac:dyDescent="0.25">
      <c r="A73" s="6"/>
      <c r="B73" s="6"/>
      <c r="C73" s="6"/>
      <c r="D73" s="6"/>
      <c r="E73" s="6"/>
      <c r="F73" s="6"/>
      <c r="G73" s="6"/>
      <c r="H73" s="14"/>
      <c r="I73" s="14"/>
      <c r="J73" s="14"/>
      <c r="K73" s="14"/>
      <c r="L73" s="14"/>
      <c r="N73" s="1">
        <v>72</v>
      </c>
      <c r="O73" s="6"/>
      <c r="P73" s="6"/>
      <c r="Q73" s="6"/>
      <c r="R73" s="6"/>
      <c r="T73" s="7"/>
      <c r="U73" s="7"/>
      <c r="V73" s="27"/>
      <c r="W73" s="15"/>
      <c r="X73" s="6"/>
      <c r="Y73" s="7"/>
      <c r="Z73" s="7"/>
      <c r="AA73" s="6"/>
      <c r="AB73" s="24"/>
    </row>
    <row r="74" spans="1:38" x14ac:dyDescent="0.25">
      <c r="A74" s="6"/>
      <c r="B74" s="6"/>
      <c r="C74" s="6"/>
      <c r="D74" s="6"/>
      <c r="E74" s="6"/>
      <c r="F74" s="6"/>
      <c r="G74" s="6"/>
      <c r="H74" s="14"/>
      <c r="I74" s="14"/>
      <c r="J74" s="14"/>
      <c r="K74" s="14"/>
      <c r="L74" s="14"/>
      <c r="N74" s="1">
        <v>73</v>
      </c>
      <c r="P74" s="6"/>
      <c r="T74" s="27"/>
      <c r="U74" s="27"/>
      <c r="V74" s="27"/>
      <c r="W74" s="15"/>
      <c r="X74" s="7"/>
      <c r="Y74" s="27"/>
      <c r="Z74" s="7"/>
      <c r="AA74" s="6"/>
      <c r="AB74" s="24"/>
    </row>
    <row r="75" spans="1:38" x14ac:dyDescent="0.25">
      <c r="A75" s="6"/>
      <c r="B75" s="6"/>
      <c r="C75" s="6"/>
      <c r="D75" s="6"/>
      <c r="E75" s="6"/>
      <c r="F75" s="6"/>
      <c r="G75" s="6"/>
      <c r="H75" s="14"/>
      <c r="I75" s="14"/>
      <c r="J75" s="14"/>
      <c r="K75" s="14"/>
      <c r="L75" s="14"/>
      <c r="N75" s="1">
        <v>74</v>
      </c>
      <c r="P75" s="6"/>
      <c r="T75" s="24"/>
      <c r="U75" s="7"/>
      <c r="V75" s="24"/>
      <c r="W75" s="15"/>
      <c r="X75" s="7"/>
      <c r="Y75" s="27"/>
      <c r="Z75" s="7"/>
      <c r="AA75" s="6"/>
      <c r="AB75" s="24"/>
      <c r="AL75" s="6"/>
    </row>
    <row r="76" spans="1:38" x14ac:dyDescent="0.25">
      <c r="A76" s="6"/>
      <c r="B76" s="6"/>
      <c r="C76" s="6"/>
      <c r="D76" s="6"/>
      <c r="E76" s="6"/>
      <c r="F76" s="6"/>
      <c r="G76" s="6"/>
      <c r="H76" s="14"/>
      <c r="I76" s="14"/>
      <c r="J76" s="14"/>
      <c r="K76" s="14"/>
      <c r="L76" s="14"/>
      <c r="N76" s="1">
        <v>75</v>
      </c>
      <c r="O76" s="6"/>
      <c r="P76" s="6"/>
      <c r="Q76" s="6"/>
      <c r="R76" s="6"/>
      <c r="S76" s="6"/>
      <c r="T76" s="7"/>
      <c r="U76" s="7"/>
      <c r="V76" s="7"/>
      <c r="W76" s="15"/>
      <c r="X76" s="7"/>
      <c r="Y76" s="7"/>
      <c r="Z76" s="7"/>
      <c r="AA76" s="6"/>
      <c r="AB76" s="24"/>
      <c r="AL76" s="6"/>
    </row>
    <row r="77" spans="1:38" x14ac:dyDescent="0.25">
      <c r="A77" s="6"/>
      <c r="B77" s="6"/>
      <c r="C77" s="6"/>
      <c r="D77" s="6"/>
      <c r="E77" s="6"/>
      <c r="F77" s="6"/>
      <c r="G77" s="6"/>
      <c r="H77" s="14"/>
      <c r="I77" s="14"/>
      <c r="J77" s="14"/>
      <c r="K77" s="14"/>
      <c r="L77" s="14"/>
      <c r="N77" s="1">
        <v>76</v>
      </c>
      <c r="O77" s="6"/>
      <c r="P77" s="6"/>
      <c r="Q77" s="6"/>
      <c r="R77" s="6"/>
      <c r="S77" s="6"/>
      <c r="T77" s="7"/>
      <c r="U77" s="7"/>
      <c r="V77" s="7"/>
      <c r="W77" s="15"/>
      <c r="X77" s="7"/>
      <c r="Y77" s="7"/>
      <c r="Z77" s="7"/>
      <c r="AA77" s="6"/>
      <c r="AB77" s="24"/>
      <c r="AL77" s="6"/>
    </row>
    <row r="78" spans="1:38" x14ac:dyDescent="0.25">
      <c r="A78" s="6"/>
      <c r="B78" s="6"/>
      <c r="C78" s="6"/>
      <c r="D78" s="6"/>
      <c r="E78" s="6"/>
      <c r="F78" s="6"/>
      <c r="G78" s="6"/>
      <c r="H78" s="14"/>
      <c r="I78" s="14"/>
      <c r="J78" s="14"/>
      <c r="K78" s="14"/>
      <c r="L78" s="14"/>
      <c r="N78" s="1">
        <v>77</v>
      </c>
      <c r="O78" s="6"/>
      <c r="P78" s="6"/>
      <c r="Q78" s="6"/>
      <c r="R78" s="6"/>
      <c r="S78" s="6"/>
      <c r="T78" s="7"/>
      <c r="U78" s="7"/>
      <c r="V78" s="7"/>
      <c r="W78" s="15"/>
      <c r="X78" s="7"/>
      <c r="Y78" s="7"/>
      <c r="Z78" s="7"/>
      <c r="AA78" s="6"/>
      <c r="AB78" s="24"/>
      <c r="AL78" s="6"/>
    </row>
    <row r="79" spans="1:38" x14ac:dyDescent="0.25">
      <c r="N79" s="1">
        <v>78</v>
      </c>
      <c r="O79" s="6"/>
      <c r="P79" s="6"/>
      <c r="Q79" s="6"/>
      <c r="R79" s="6"/>
      <c r="T79" s="13"/>
      <c r="U79" s="7"/>
      <c r="V79" s="13"/>
      <c r="W79" s="15"/>
      <c r="X79" s="7"/>
      <c r="Y79" s="7"/>
      <c r="Z79" s="7"/>
      <c r="AA79" s="6"/>
      <c r="AB79" s="24"/>
      <c r="AL79" s="6"/>
    </row>
    <row r="80" spans="1:38" x14ac:dyDescent="0.25">
      <c r="N80" s="1">
        <v>79</v>
      </c>
      <c r="O80" s="6"/>
      <c r="P80" s="6"/>
      <c r="Q80" s="6"/>
      <c r="R80" s="6"/>
      <c r="S80" s="6"/>
      <c r="T80" s="7"/>
      <c r="U80" s="7"/>
      <c r="V80" s="7"/>
      <c r="W80" s="15"/>
      <c r="X80" s="7"/>
      <c r="Y80" s="7"/>
      <c r="Z80" s="7"/>
      <c r="AA80" s="6"/>
      <c r="AB80" s="24"/>
      <c r="AL80" s="6"/>
    </row>
    <row r="81" spans="2:38" x14ac:dyDescent="0.25">
      <c r="N81" s="1">
        <v>80</v>
      </c>
      <c r="O81" s="6"/>
      <c r="P81" s="6"/>
      <c r="Q81" s="6"/>
      <c r="R81" s="6"/>
      <c r="S81" s="6"/>
      <c r="T81" s="7"/>
      <c r="U81" s="7"/>
      <c r="V81" s="7"/>
      <c r="W81" s="15"/>
      <c r="X81" s="7"/>
      <c r="Y81" s="7"/>
      <c r="Z81" s="7"/>
      <c r="AA81" s="6"/>
      <c r="AB81" s="24"/>
      <c r="AL81" s="6"/>
    </row>
    <row r="82" spans="2:38" x14ac:dyDescent="0.25">
      <c r="N82" s="1">
        <v>81</v>
      </c>
      <c r="O82" s="6"/>
      <c r="P82" s="6"/>
      <c r="Q82" s="6"/>
      <c r="R82" s="6"/>
      <c r="S82" s="6"/>
      <c r="T82" s="7"/>
      <c r="U82" s="7"/>
      <c r="V82" s="7"/>
      <c r="W82" s="15"/>
      <c r="X82" s="7"/>
      <c r="Y82" s="7"/>
      <c r="Z82" s="7"/>
      <c r="AA82" s="6"/>
      <c r="AB82" s="24"/>
      <c r="AL82" s="6"/>
    </row>
    <row r="83" spans="2:38" x14ac:dyDescent="0.25">
      <c r="N83" s="1">
        <v>82</v>
      </c>
      <c r="O83" s="6"/>
      <c r="P83" s="6"/>
      <c r="Q83" s="6"/>
      <c r="R83" s="6"/>
      <c r="S83" s="6"/>
      <c r="T83" s="7"/>
      <c r="U83" s="7"/>
      <c r="V83" s="7"/>
      <c r="W83" s="15"/>
      <c r="X83" s="7"/>
      <c r="Y83" s="7"/>
      <c r="Z83" s="7"/>
      <c r="AA83" s="6"/>
      <c r="AB83" s="24"/>
      <c r="AL83" s="6"/>
    </row>
    <row r="84" spans="2:38" x14ac:dyDescent="0.25">
      <c r="N84" s="1">
        <v>83</v>
      </c>
      <c r="O84" s="6"/>
      <c r="P84" s="6"/>
      <c r="Q84" s="6"/>
      <c r="R84" s="6"/>
      <c r="S84" s="6"/>
      <c r="T84" s="6"/>
      <c r="U84" s="6"/>
      <c r="V84" s="6"/>
      <c r="W84" s="6"/>
      <c r="X84" s="6"/>
      <c r="Y84" s="6"/>
      <c r="Z84" s="6"/>
      <c r="AA84" s="6"/>
      <c r="AB84" s="24"/>
      <c r="AL84" s="6"/>
    </row>
    <row r="85" spans="2:38" x14ac:dyDescent="0.25">
      <c r="N85" s="1">
        <v>84</v>
      </c>
      <c r="O85" s="6"/>
      <c r="P85" s="6"/>
      <c r="Q85" s="6"/>
      <c r="R85" s="6"/>
      <c r="S85" s="6"/>
      <c r="T85" s="6"/>
      <c r="U85" s="6"/>
      <c r="V85" s="6"/>
      <c r="W85" s="6"/>
      <c r="X85" s="6"/>
      <c r="Y85" s="6"/>
      <c r="Z85" s="6"/>
      <c r="AA85" s="6"/>
      <c r="AB85" s="24"/>
    </row>
    <row r="86" spans="2:38" x14ac:dyDescent="0.25">
      <c r="N86" s="1">
        <v>85</v>
      </c>
      <c r="O86" s="6"/>
      <c r="P86" s="6"/>
      <c r="Q86" s="6"/>
      <c r="R86" s="6"/>
      <c r="S86" s="6"/>
      <c r="T86" s="6"/>
      <c r="U86" s="6"/>
      <c r="V86" s="6"/>
      <c r="W86" s="6"/>
      <c r="X86" s="6"/>
      <c r="Y86" s="6"/>
      <c r="Z86" s="6"/>
      <c r="AA86" s="6"/>
      <c r="AB86" s="24"/>
    </row>
    <row r="87" spans="2:38" x14ac:dyDescent="0.25">
      <c r="O87" s="6" t="s">
        <v>19</v>
      </c>
      <c r="P87" s="6"/>
      <c r="Q87" s="6"/>
      <c r="R87" s="6"/>
      <c r="S87" s="6"/>
      <c r="T87" s="6"/>
      <c r="U87" s="6"/>
      <c r="V87" s="6"/>
      <c r="W87" s="6"/>
      <c r="X87" s="6"/>
      <c r="Y87" s="6"/>
      <c r="Z87" s="6"/>
      <c r="AA87" s="6"/>
    </row>
    <row r="88" spans="2:38" x14ac:dyDescent="0.25">
      <c r="B88" s="4"/>
      <c r="C88" s="4"/>
      <c r="D88" s="4"/>
      <c r="E88" s="4"/>
      <c r="F88" s="4"/>
      <c r="G88" s="4"/>
      <c r="H88" s="4"/>
      <c r="I88" s="4"/>
      <c r="J88" s="4"/>
      <c r="K88" s="4"/>
      <c r="L88" s="4"/>
      <c r="M88" s="4"/>
      <c r="O88" s="24" t="s">
        <v>20</v>
      </c>
      <c r="P88" s="6"/>
      <c r="Q88" s="6"/>
      <c r="R88" s="6"/>
      <c r="S88" s="6"/>
      <c r="T88" s="6"/>
      <c r="U88" s="6"/>
      <c r="V88" s="6"/>
      <c r="W88" s="6"/>
      <c r="X88" s="6"/>
      <c r="Y88" s="6"/>
      <c r="Z88" s="1" t="s">
        <v>21</v>
      </c>
    </row>
    <row r="89" spans="2:38" x14ac:dyDescent="0.25">
      <c r="B89" s="4"/>
      <c r="C89" s="4"/>
      <c r="D89" s="4"/>
      <c r="E89" s="4"/>
      <c r="F89" s="4"/>
      <c r="G89" s="4"/>
      <c r="H89" s="4"/>
      <c r="I89" s="4"/>
      <c r="J89" s="4"/>
      <c r="K89" s="4"/>
      <c r="L89" s="4"/>
      <c r="M89" s="4"/>
      <c r="N89" s="4"/>
      <c r="P89" s="6"/>
      <c r="S89" s="6"/>
      <c r="T89" s="6"/>
      <c r="U89" s="6"/>
      <c r="V89" s="6"/>
      <c r="W89" s="6"/>
      <c r="X89" s="6"/>
      <c r="Y89" s="6"/>
      <c r="Z89" s="6"/>
      <c r="AA89" s="6"/>
    </row>
    <row r="90" spans="2:38" x14ac:dyDescent="0.25">
      <c r="B90" s="4"/>
      <c r="C90" s="4"/>
      <c r="D90" s="4"/>
      <c r="E90" s="4"/>
      <c r="F90" s="4"/>
      <c r="G90" s="4"/>
      <c r="H90" s="4"/>
      <c r="I90" s="4"/>
      <c r="J90" s="4"/>
      <c r="K90" s="4"/>
      <c r="L90" s="4"/>
      <c r="M90" s="4"/>
      <c r="N90" s="4"/>
      <c r="O90" s="6"/>
      <c r="P90" s="6"/>
      <c r="Q90" s="6"/>
      <c r="R90" s="6"/>
      <c r="S90" s="6"/>
      <c r="T90" s="6"/>
      <c r="U90" s="6"/>
      <c r="V90" s="6"/>
      <c r="W90" s="6"/>
      <c r="X90" s="6"/>
      <c r="Y90" s="6"/>
      <c r="Z90" s="6"/>
      <c r="AA90" s="6"/>
    </row>
    <row r="91" spans="2:38" x14ac:dyDescent="0.25">
      <c r="B91" s="4"/>
      <c r="C91" s="4"/>
      <c r="D91" s="4"/>
      <c r="E91" s="4"/>
      <c r="F91" s="4"/>
      <c r="G91" s="4"/>
      <c r="H91" s="4"/>
      <c r="I91" s="4"/>
      <c r="J91" s="4"/>
      <c r="K91" s="4"/>
      <c r="L91" s="4"/>
      <c r="M91" s="4"/>
      <c r="N91" s="4"/>
      <c r="O91" s="6"/>
      <c r="P91" s="6"/>
      <c r="Q91" s="6"/>
      <c r="R91" s="6"/>
      <c r="S91" s="6"/>
      <c r="T91" s="6"/>
      <c r="U91" s="6"/>
      <c r="V91" s="6"/>
      <c r="W91" s="6"/>
      <c r="X91" s="6"/>
      <c r="Y91" s="6"/>
      <c r="Z91" s="6"/>
      <c r="AA91" s="6"/>
    </row>
    <row r="92" spans="2:38" x14ac:dyDescent="0.25">
      <c r="B92" s="4"/>
      <c r="C92" s="4"/>
      <c r="D92" s="4"/>
      <c r="E92" s="4"/>
      <c r="F92" s="4"/>
      <c r="G92" s="4"/>
      <c r="H92" s="4"/>
      <c r="I92" s="4"/>
      <c r="J92" s="4"/>
      <c r="K92" s="4"/>
      <c r="L92" s="4"/>
      <c r="M92" s="4"/>
      <c r="N92" s="4"/>
      <c r="O92" s="6"/>
      <c r="P92" s="6"/>
      <c r="Q92" s="6"/>
      <c r="R92" s="6"/>
      <c r="S92" s="6"/>
      <c r="T92" s="7"/>
      <c r="U92" s="7"/>
      <c r="V92" s="7"/>
      <c r="W92" s="15"/>
      <c r="X92" s="7"/>
      <c r="Y92" s="7"/>
      <c r="Z92" s="7"/>
      <c r="AA92" s="6"/>
    </row>
    <row r="93" spans="2:38" x14ac:dyDescent="0.25">
      <c r="B93" s="4"/>
      <c r="C93" s="4"/>
      <c r="D93" s="4"/>
      <c r="E93" s="4"/>
      <c r="F93" s="4"/>
      <c r="G93" s="4"/>
      <c r="H93" s="4"/>
      <c r="I93" s="4"/>
      <c r="J93" s="4"/>
      <c r="K93" s="4"/>
      <c r="L93" s="4"/>
      <c r="M93" s="4"/>
      <c r="N93" s="4"/>
      <c r="O93" s="6"/>
      <c r="P93" s="6"/>
      <c r="Q93" s="6"/>
      <c r="R93" s="6"/>
      <c r="S93" s="6"/>
      <c r="T93" s="7"/>
      <c r="U93" s="7"/>
      <c r="V93" s="7"/>
      <c r="W93" s="15"/>
      <c r="X93" s="7"/>
      <c r="Y93" s="7"/>
      <c r="Z93" s="7"/>
      <c r="AA93" s="6"/>
    </row>
    <row r="94" spans="2:38" x14ac:dyDescent="0.25">
      <c r="B94" s="4"/>
      <c r="C94" s="4"/>
      <c r="D94" s="4"/>
      <c r="E94" s="4"/>
      <c r="F94" s="4"/>
      <c r="G94" s="4"/>
      <c r="H94" s="4"/>
      <c r="I94" s="4"/>
      <c r="J94" s="4"/>
      <c r="K94" s="4"/>
      <c r="L94" s="4"/>
      <c r="M94" s="4"/>
      <c r="N94" s="4"/>
      <c r="O94" s="6"/>
      <c r="P94" s="6"/>
      <c r="Q94" s="6"/>
      <c r="R94" s="6"/>
      <c r="S94" s="6"/>
      <c r="T94" s="7"/>
      <c r="U94" s="7"/>
      <c r="V94" s="6"/>
      <c r="W94" s="15"/>
      <c r="X94" s="7"/>
      <c r="Y94" s="7"/>
      <c r="Z94" s="7"/>
      <c r="AA94" s="6"/>
    </row>
    <row r="95" spans="2:38" x14ac:dyDescent="0.25">
      <c r="B95" s="4"/>
      <c r="C95" s="4"/>
      <c r="D95" s="4"/>
      <c r="E95" s="4"/>
      <c r="F95" s="4"/>
      <c r="G95" s="4"/>
      <c r="H95" s="4"/>
      <c r="I95" s="4"/>
      <c r="J95" s="4"/>
      <c r="K95" s="4"/>
      <c r="L95" s="4"/>
      <c r="M95" s="4"/>
      <c r="N95" s="4"/>
      <c r="O95" s="6"/>
      <c r="P95" s="6"/>
      <c r="Q95" s="6"/>
      <c r="R95" s="6"/>
      <c r="S95" s="6"/>
      <c r="T95" s="7"/>
      <c r="U95" s="7"/>
      <c r="V95" s="7"/>
      <c r="W95" s="15"/>
      <c r="X95" s="7"/>
      <c r="Y95" s="7"/>
      <c r="Z95" s="7"/>
      <c r="AA95" s="6"/>
    </row>
    <row r="96" spans="2:38" x14ac:dyDescent="0.25">
      <c r="B96" s="4"/>
      <c r="C96" s="4"/>
      <c r="D96" s="4"/>
      <c r="E96" s="4"/>
      <c r="F96" s="4"/>
      <c r="G96" s="4"/>
      <c r="H96" s="4"/>
      <c r="I96" s="4"/>
      <c r="J96" s="4"/>
      <c r="K96" s="4"/>
      <c r="L96" s="4"/>
      <c r="M96" s="4"/>
      <c r="N96" s="4"/>
      <c r="O96" s="4"/>
      <c r="P96" s="4"/>
      <c r="Q96" s="4"/>
      <c r="R96" s="4"/>
      <c r="S96" s="4"/>
      <c r="T96" s="4"/>
      <c r="U96" s="4"/>
      <c r="V96" s="4"/>
      <c r="W96" s="4"/>
      <c r="X96" s="4"/>
      <c r="Y96" s="4"/>
      <c r="Z96" s="4"/>
    </row>
    <row r="97" spans="2:27" x14ac:dyDescent="0.25">
      <c r="B97" s="4"/>
      <c r="C97" s="4"/>
      <c r="D97" s="4"/>
      <c r="E97" s="4"/>
      <c r="F97" s="4"/>
      <c r="G97" s="4"/>
      <c r="H97" s="4"/>
      <c r="I97" s="4"/>
      <c r="J97" s="4"/>
      <c r="K97" s="4"/>
      <c r="L97" s="4"/>
      <c r="M97" s="4"/>
      <c r="N97" s="4"/>
      <c r="O97" s="6"/>
      <c r="P97" s="6"/>
      <c r="Q97" s="6"/>
      <c r="R97" s="6"/>
      <c r="S97" s="6"/>
      <c r="T97" s="7"/>
      <c r="U97" s="7"/>
      <c r="V97" s="7"/>
      <c r="W97" s="15"/>
      <c r="X97" s="7"/>
      <c r="Y97" s="7"/>
      <c r="Z97" s="7"/>
      <c r="AA97" s="6"/>
    </row>
    <row r="98" spans="2:27" x14ac:dyDescent="0.25">
      <c r="B98" s="4"/>
      <c r="C98" s="4"/>
      <c r="D98" s="4"/>
      <c r="E98" s="4"/>
      <c r="F98" s="4"/>
      <c r="G98" s="4"/>
      <c r="H98" s="4"/>
      <c r="I98" s="4"/>
      <c r="J98" s="4"/>
      <c r="K98" s="4"/>
      <c r="L98" s="4"/>
      <c r="M98" s="4"/>
      <c r="N98" s="4"/>
      <c r="O98" s="4"/>
      <c r="P98" s="4"/>
      <c r="Q98" s="4"/>
      <c r="R98" s="4"/>
      <c r="S98" s="4"/>
      <c r="T98" s="4"/>
      <c r="U98" s="4"/>
      <c r="V98" s="4"/>
      <c r="W98" s="4"/>
      <c r="X98" s="4"/>
      <c r="Y98" s="4"/>
      <c r="Z98" s="4"/>
    </row>
    <row r="99" spans="2:27" x14ac:dyDescent="0.25">
      <c r="B99" s="4"/>
      <c r="C99" s="4"/>
      <c r="D99" s="4"/>
      <c r="E99" s="4"/>
      <c r="F99" s="4"/>
      <c r="G99" s="4"/>
      <c r="H99" s="4"/>
      <c r="I99" s="4"/>
      <c r="J99" s="4"/>
      <c r="K99" s="4"/>
      <c r="L99" s="4"/>
      <c r="M99" s="4"/>
      <c r="N99" s="4"/>
      <c r="O99" s="4"/>
      <c r="P99" s="4"/>
      <c r="Q99" s="4"/>
      <c r="R99" s="4"/>
      <c r="S99" s="4"/>
      <c r="T99" s="4"/>
      <c r="U99" s="4"/>
      <c r="V99" s="4"/>
      <c r="W99" s="4"/>
      <c r="X99" s="4"/>
      <c r="Y99" s="4"/>
      <c r="Z99" s="4"/>
    </row>
    <row r="100" spans="2:27" x14ac:dyDescent="0.25">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2:27" x14ac:dyDescent="0.25">
      <c r="O101" s="4"/>
    </row>
  </sheetData>
  <sheetProtection algorithmName="SHA-512" hashValue="0mzXBus03pIXU05nLYy5X2lLfPQalTS4q7K0x04YEm+ESOsaZfTXhjgGTOzF9QmDrIZZbaAmQiYfoY/cKDyRJA==" saltValue="v5DQSnPEYM1sr0pN16+2pA==" spinCount="100000" sheet="1" selectLockedCells="1"/>
  <mergeCells count="16">
    <mergeCell ref="H56:J56"/>
    <mergeCell ref="H58:J58"/>
    <mergeCell ref="B27:D27"/>
    <mergeCell ref="B29:D29"/>
    <mergeCell ref="B31:D31"/>
    <mergeCell ref="H30:J30"/>
    <mergeCell ref="H31:J31"/>
    <mergeCell ref="H32:J32"/>
    <mergeCell ref="G34:J34"/>
    <mergeCell ref="G35:J35"/>
    <mergeCell ref="G36:J36"/>
    <mergeCell ref="B25:D25"/>
    <mergeCell ref="S1:T1"/>
    <mergeCell ref="V1:W1"/>
    <mergeCell ref="AE1:AF1"/>
    <mergeCell ref="I49:J49"/>
  </mergeCells>
  <hyperlinks>
    <hyperlink ref="A68" r:id="rId1" display="https://intranet.ku.dk/sund/uddannelse/undervisning/normkatalog/Documents/Undervisnings-eksamens-vejledningsnormer%20samlet%20sept2013-jan2014.pdf " xr:uid="{00000000-0004-0000-0300-000000000000}"/>
  </hyperlinks>
  <pageMargins left="0.70866141732283472" right="0.70866141732283472" top="0.74803149606299213" bottom="0.74803149606299213" header="0.31496062992125984" footer="0.31496062992125984"/>
  <pageSetup paperSize="9" scale="70" orientation="portrait" r:id="rId2"/>
  <headerFooter alignWithMargins="0">
    <oddHeader>&amp;L&amp;A&amp;C&amp;F&amp;R&amp;D; &amp;T</oddHeader>
  </headerFooter>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pageSetUpPr fitToPage="1"/>
  </sheetPr>
  <dimension ref="A1:E81"/>
  <sheetViews>
    <sheetView workbookViewId="0">
      <selection sqref="A1:B1"/>
    </sheetView>
  </sheetViews>
  <sheetFormatPr defaultRowHeight="12.75" x14ac:dyDescent="0.2"/>
  <cols>
    <col min="1" max="1" width="27.33203125" style="31" customWidth="1"/>
    <col min="2" max="2" width="27" style="31" customWidth="1"/>
    <col min="3" max="3" width="49.83203125" style="31" customWidth="1"/>
    <col min="4" max="4" width="31.6640625" style="31" customWidth="1"/>
    <col min="5" max="5" width="47.5" style="31" customWidth="1"/>
    <col min="6" max="16384" width="9.33203125" style="31"/>
  </cols>
  <sheetData>
    <row r="1" spans="1:5" x14ac:dyDescent="0.2">
      <c r="A1" s="228" t="s">
        <v>130</v>
      </c>
      <c r="B1" s="229"/>
      <c r="C1" s="230" t="s">
        <v>211</v>
      </c>
      <c r="D1" s="229"/>
      <c r="E1" s="114" t="s">
        <v>212</v>
      </c>
    </row>
    <row r="2" spans="1:5" x14ac:dyDescent="0.2">
      <c r="A2" s="189" t="s">
        <v>131</v>
      </c>
      <c r="B2" s="190"/>
      <c r="C2" s="189"/>
      <c r="D2" s="190"/>
      <c r="E2" s="125">
        <v>6</v>
      </c>
    </row>
    <row r="3" spans="1:5" x14ac:dyDescent="0.2">
      <c r="A3" s="231" t="s">
        <v>132</v>
      </c>
      <c r="B3" s="232"/>
      <c r="C3" s="231" t="s">
        <v>174</v>
      </c>
      <c r="D3" s="232"/>
      <c r="E3" s="129">
        <v>3.5</v>
      </c>
    </row>
    <row r="4" spans="1:5" x14ac:dyDescent="0.2">
      <c r="A4" s="227" t="s">
        <v>133</v>
      </c>
      <c r="B4" s="227"/>
      <c r="C4" s="227" t="s">
        <v>163</v>
      </c>
      <c r="D4" s="227"/>
      <c r="E4" s="133">
        <v>2.5</v>
      </c>
    </row>
    <row r="5" spans="1:5" x14ac:dyDescent="0.2">
      <c r="A5" s="187" t="s">
        <v>175</v>
      </c>
      <c r="B5" s="188"/>
      <c r="C5" s="189"/>
      <c r="D5" s="190"/>
      <c r="E5" s="125">
        <v>1</v>
      </c>
    </row>
    <row r="6" spans="1:5" x14ac:dyDescent="0.2">
      <c r="A6" s="187" t="s">
        <v>314</v>
      </c>
      <c r="B6" s="188"/>
      <c r="C6" s="189" t="s">
        <v>315</v>
      </c>
      <c r="D6" s="190"/>
      <c r="E6" s="125" t="s">
        <v>316</v>
      </c>
    </row>
    <row r="7" spans="1:5" ht="17.25" customHeight="1" x14ac:dyDescent="0.2">
      <c r="A7" s="189" t="s">
        <v>176</v>
      </c>
      <c r="B7" s="190"/>
      <c r="C7" s="189" t="s">
        <v>164</v>
      </c>
      <c r="D7" s="190"/>
      <c r="E7" s="115" t="s">
        <v>177</v>
      </c>
    </row>
    <row r="8" spans="1:5" x14ac:dyDescent="0.2">
      <c r="A8" s="199" t="s">
        <v>213</v>
      </c>
      <c r="B8" s="200"/>
      <c r="C8" s="199" t="s">
        <v>211</v>
      </c>
      <c r="D8" s="200"/>
      <c r="E8" s="116" t="s">
        <v>212</v>
      </c>
    </row>
    <row r="9" spans="1:5" ht="26.25" customHeight="1" x14ac:dyDescent="0.2">
      <c r="A9" s="201" t="s">
        <v>178</v>
      </c>
      <c r="B9" s="202"/>
      <c r="C9" s="201"/>
      <c r="D9" s="202"/>
      <c r="E9" s="117" t="s">
        <v>179</v>
      </c>
    </row>
    <row r="10" spans="1:5" ht="18.75" customHeight="1" x14ac:dyDescent="0.2">
      <c r="A10" s="201" t="s">
        <v>180</v>
      </c>
      <c r="B10" s="202"/>
      <c r="C10" s="201" t="s">
        <v>181</v>
      </c>
      <c r="D10" s="202"/>
      <c r="E10" s="117" t="s">
        <v>182</v>
      </c>
    </row>
    <row r="11" spans="1:5" x14ac:dyDescent="0.2">
      <c r="A11" s="215" t="s">
        <v>214</v>
      </c>
      <c r="B11" s="216"/>
      <c r="C11" s="216"/>
      <c r="D11" s="217"/>
      <c r="E11" s="218"/>
    </row>
    <row r="12" spans="1:5" ht="12.75" customHeight="1" x14ac:dyDescent="0.2">
      <c r="A12" s="215" t="s">
        <v>215</v>
      </c>
      <c r="B12" s="216"/>
      <c r="C12" s="216"/>
      <c r="D12" s="191" t="s">
        <v>165</v>
      </c>
      <c r="E12" s="192"/>
    </row>
    <row r="13" spans="1:5" ht="15" customHeight="1" x14ac:dyDescent="0.2">
      <c r="A13" s="118" t="s">
        <v>216</v>
      </c>
      <c r="B13" s="118" t="s">
        <v>212</v>
      </c>
      <c r="C13" s="119" t="s">
        <v>217</v>
      </c>
      <c r="D13" s="123" t="s">
        <v>166</v>
      </c>
      <c r="E13" s="123" t="s">
        <v>167</v>
      </c>
    </row>
    <row r="14" spans="1:5" ht="13.5" customHeight="1" x14ac:dyDescent="0.2">
      <c r="A14" s="219" t="s">
        <v>183</v>
      </c>
      <c r="B14" s="219" t="s">
        <v>169</v>
      </c>
      <c r="C14" s="120" t="s">
        <v>183</v>
      </c>
      <c r="D14" s="220" t="s">
        <v>218</v>
      </c>
      <c r="E14" s="220" t="s">
        <v>219</v>
      </c>
    </row>
    <row r="15" spans="1:5" ht="16.5" customHeight="1" x14ac:dyDescent="0.2">
      <c r="A15" s="220"/>
      <c r="B15" s="220"/>
      <c r="C15" s="120" t="s">
        <v>184</v>
      </c>
      <c r="D15" s="220"/>
      <c r="E15" s="220"/>
    </row>
    <row r="16" spans="1:5" ht="18.75" customHeight="1" x14ac:dyDescent="0.2">
      <c r="A16" s="220"/>
      <c r="B16" s="220"/>
      <c r="C16" s="120" t="s">
        <v>185</v>
      </c>
      <c r="D16" s="220"/>
      <c r="E16" s="220"/>
    </row>
    <row r="17" spans="1:5" ht="16.5" customHeight="1" x14ac:dyDescent="0.2">
      <c r="A17" s="221"/>
      <c r="B17" s="221"/>
      <c r="C17" s="120" t="s">
        <v>186</v>
      </c>
      <c r="D17" s="221"/>
      <c r="E17" s="221"/>
    </row>
    <row r="18" spans="1:5" ht="14.25" customHeight="1" x14ac:dyDescent="0.2">
      <c r="A18" s="121" t="s">
        <v>187</v>
      </c>
      <c r="B18" s="121" t="s">
        <v>188</v>
      </c>
      <c r="C18" s="121"/>
      <c r="D18" s="121"/>
      <c r="E18" s="121" t="s">
        <v>189</v>
      </c>
    </row>
    <row r="19" spans="1:5" ht="27.75" customHeight="1" x14ac:dyDescent="0.2">
      <c r="A19" s="219" t="s">
        <v>190</v>
      </c>
      <c r="B19" s="120" t="s">
        <v>191</v>
      </c>
      <c r="C19" s="222"/>
      <c r="D19" s="219" t="s">
        <v>218</v>
      </c>
      <c r="E19" s="222" t="s">
        <v>220</v>
      </c>
    </row>
    <row r="20" spans="1:5" ht="59.25" customHeight="1" x14ac:dyDescent="0.2">
      <c r="A20" s="221"/>
      <c r="B20" s="120" t="s">
        <v>192</v>
      </c>
      <c r="C20" s="223"/>
      <c r="D20" s="221"/>
      <c r="E20" s="223"/>
    </row>
    <row r="21" spans="1:5" ht="15" customHeight="1" x14ac:dyDescent="0.2">
      <c r="A21" s="121" t="s">
        <v>193</v>
      </c>
      <c r="B21" s="121" t="s">
        <v>188</v>
      </c>
      <c r="C21" s="121"/>
      <c r="D21" s="121"/>
      <c r="E21" s="121" t="s">
        <v>194</v>
      </c>
    </row>
    <row r="22" spans="1:5" ht="37.5" customHeight="1" x14ac:dyDescent="0.2">
      <c r="A22" s="124" t="s">
        <v>195</v>
      </c>
      <c r="B22" s="124" t="s">
        <v>196</v>
      </c>
      <c r="C22" s="124"/>
      <c r="D22" s="124" t="s">
        <v>168</v>
      </c>
      <c r="E22" s="124" t="s">
        <v>169</v>
      </c>
    </row>
    <row r="23" spans="1:5" ht="14.25" customHeight="1" x14ac:dyDescent="0.2">
      <c r="A23" s="224" t="s">
        <v>197</v>
      </c>
      <c r="B23" s="224" t="s">
        <v>198</v>
      </c>
      <c r="C23" s="121" t="s">
        <v>199</v>
      </c>
      <c r="D23" s="224" t="s">
        <v>171</v>
      </c>
      <c r="E23" s="203" t="s">
        <v>172</v>
      </c>
    </row>
    <row r="24" spans="1:5" ht="15" customHeight="1" x14ac:dyDescent="0.2">
      <c r="A24" s="225"/>
      <c r="B24" s="225"/>
      <c r="C24" s="121" t="s">
        <v>200</v>
      </c>
      <c r="D24" s="225"/>
      <c r="E24" s="204"/>
    </row>
    <row r="25" spans="1:5" ht="18.75" customHeight="1" x14ac:dyDescent="0.2">
      <c r="A25" s="225"/>
      <c r="B25" s="225"/>
      <c r="C25" s="121" t="s">
        <v>201</v>
      </c>
      <c r="D25" s="225"/>
      <c r="E25" s="204"/>
    </row>
    <row r="26" spans="1:5" ht="17.25" customHeight="1" x14ac:dyDescent="0.2">
      <c r="A26" s="225"/>
      <c r="B26" s="225"/>
      <c r="C26" s="121" t="s">
        <v>202</v>
      </c>
      <c r="D26" s="225"/>
      <c r="E26" s="204"/>
    </row>
    <row r="27" spans="1:5" ht="20.25" customHeight="1" x14ac:dyDescent="0.2">
      <c r="A27" s="225"/>
      <c r="B27" s="225"/>
      <c r="C27" s="121" t="s">
        <v>203</v>
      </c>
      <c r="D27" s="225"/>
      <c r="E27" s="204"/>
    </row>
    <row r="28" spans="1:5" ht="40.5" customHeight="1" x14ac:dyDescent="0.2">
      <c r="A28" s="226"/>
      <c r="B28" s="226"/>
      <c r="C28" s="121" t="s">
        <v>170</v>
      </c>
      <c r="D28" s="226"/>
      <c r="E28" s="205"/>
    </row>
    <row r="29" spans="1:5" x14ac:dyDescent="0.2">
      <c r="A29" s="193" t="s">
        <v>221</v>
      </c>
      <c r="B29" s="194"/>
      <c r="C29" s="194"/>
      <c r="D29" s="194"/>
      <c r="E29" s="195"/>
    </row>
    <row r="30" spans="1:5" x14ac:dyDescent="0.2">
      <c r="A30" s="122" t="s">
        <v>204</v>
      </c>
      <c r="B30" s="196" t="s">
        <v>173</v>
      </c>
      <c r="C30" s="197"/>
      <c r="D30" s="197"/>
      <c r="E30" s="198"/>
    </row>
    <row r="31" spans="1:5" ht="15" customHeight="1" x14ac:dyDescent="0.2">
      <c r="A31" s="206" t="s">
        <v>205</v>
      </c>
      <c r="B31" s="209" t="s">
        <v>206</v>
      </c>
      <c r="C31" s="210"/>
      <c r="D31" s="211"/>
      <c r="E31" s="122" t="s">
        <v>207</v>
      </c>
    </row>
    <row r="32" spans="1:5" ht="13.5" customHeight="1" x14ac:dyDescent="0.2">
      <c r="A32" s="207"/>
      <c r="B32" s="212"/>
      <c r="C32" s="213"/>
      <c r="D32" s="214"/>
      <c r="E32" s="122" t="s">
        <v>208</v>
      </c>
    </row>
    <row r="33" spans="1:5" x14ac:dyDescent="0.2">
      <c r="A33" s="208"/>
      <c r="B33" s="196" t="s">
        <v>209</v>
      </c>
      <c r="C33" s="197"/>
      <c r="D33" s="198"/>
      <c r="E33" s="122" t="s">
        <v>210</v>
      </c>
    </row>
    <row r="34" spans="1:5" x14ac:dyDescent="0.2">
      <c r="A34" s="113" t="s">
        <v>145</v>
      </c>
    </row>
    <row r="35" spans="1:5" x14ac:dyDescent="0.2">
      <c r="A35" s="31" t="s">
        <v>146</v>
      </c>
    </row>
    <row r="36" spans="1:5" x14ac:dyDescent="0.2">
      <c r="A36" s="31" t="s">
        <v>134</v>
      </c>
    </row>
    <row r="38" spans="1:5" x14ac:dyDescent="0.2">
      <c r="A38" s="31" t="s">
        <v>147</v>
      </c>
    </row>
    <row r="39" spans="1:5" x14ac:dyDescent="0.2">
      <c r="A39" s="31" t="s">
        <v>135</v>
      </c>
    </row>
    <row r="41" spans="1:5" x14ac:dyDescent="0.2">
      <c r="A41" s="31" t="s">
        <v>148</v>
      </c>
    </row>
    <row r="43" spans="1:5" x14ac:dyDescent="0.2">
      <c r="A43" s="31" t="s">
        <v>149</v>
      </c>
    </row>
    <row r="45" spans="1:5" x14ac:dyDescent="0.2">
      <c r="A45" s="31" t="s">
        <v>150</v>
      </c>
    </row>
    <row r="47" spans="1:5" x14ac:dyDescent="0.2">
      <c r="A47" s="31" t="s">
        <v>151</v>
      </c>
    </row>
    <row r="49" spans="1:1" x14ac:dyDescent="0.2">
      <c r="A49" s="31" t="s">
        <v>152</v>
      </c>
    </row>
    <row r="50" spans="1:1" x14ac:dyDescent="0.2">
      <c r="A50" s="31" t="s">
        <v>136</v>
      </c>
    </row>
    <row r="52" spans="1:1" x14ac:dyDescent="0.2">
      <c r="A52" s="31" t="s">
        <v>153</v>
      </c>
    </row>
    <row r="54" spans="1:1" x14ac:dyDescent="0.2">
      <c r="A54" s="31" t="s">
        <v>154</v>
      </c>
    </row>
    <row r="56" spans="1:1" x14ac:dyDescent="0.2">
      <c r="A56" s="31" t="s">
        <v>155</v>
      </c>
    </row>
    <row r="57" spans="1:1" x14ac:dyDescent="0.2">
      <c r="A57" s="31" t="s">
        <v>137</v>
      </c>
    </row>
    <row r="59" spans="1:1" x14ac:dyDescent="0.2">
      <c r="A59" s="31" t="s">
        <v>156</v>
      </c>
    </row>
    <row r="60" spans="1:1" x14ac:dyDescent="0.2">
      <c r="A60" s="31" t="s">
        <v>138</v>
      </c>
    </row>
    <row r="62" spans="1:1" x14ac:dyDescent="0.2">
      <c r="A62" s="31" t="s">
        <v>157</v>
      </c>
    </row>
    <row r="64" spans="1:1" x14ac:dyDescent="0.2">
      <c r="A64" s="31" t="s">
        <v>158</v>
      </c>
    </row>
    <row r="65" spans="1:1" x14ac:dyDescent="0.2">
      <c r="A65" s="31" t="s">
        <v>139</v>
      </c>
    </row>
    <row r="66" spans="1:1" x14ac:dyDescent="0.2">
      <c r="A66" s="31" t="s">
        <v>140</v>
      </c>
    </row>
    <row r="68" spans="1:1" x14ac:dyDescent="0.2">
      <c r="A68" s="31" t="s">
        <v>159</v>
      </c>
    </row>
    <row r="69" spans="1:1" x14ac:dyDescent="0.2">
      <c r="A69" s="31" t="s">
        <v>141</v>
      </c>
    </row>
    <row r="71" spans="1:1" x14ac:dyDescent="0.2">
      <c r="A71" s="31" t="s">
        <v>160</v>
      </c>
    </row>
    <row r="72" spans="1:1" x14ac:dyDescent="0.2">
      <c r="A72" s="31" t="s">
        <v>142</v>
      </c>
    </row>
    <row r="74" spans="1:1" x14ac:dyDescent="0.2">
      <c r="A74" s="31" t="s">
        <v>143</v>
      </c>
    </row>
    <row r="75" spans="1:1" x14ac:dyDescent="0.2">
      <c r="A75" s="31" t="s">
        <v>144</v>
      </c>
    </row>
    <row r="77" spans="1:1" x14ac:dyDescent="0.2">
      <c r="A77" s="31" t="s">
        <v>161</v>
      </c>
    </row>
    <row r="79" spans="1:1" x14ac:dyDescent="0.2">
      <c r="A79" s="31" t="s">
        <v>162</v>
      </c>
    </row>
    <row r="81" spans="1:2" x14ac:dyDescent="0.2">
      <c r="A81" s="31" t="s">
        <v>222</v>
      </c>
      <c r="B81" s="126" t="s">
        <v>223</v>
      </c>
    </row>
  </sheetData>
  <sheetProtection algorithmName="SHA-512" hashValue="uroVukVhBoE6rfStCOu8LIADSO+i3FaduEIP0pQBQ9DQVkW+Fp1kbiK+pCBxjbeene2ETUVHrzdWmEp4exNglw==" saltValue="S3icUJ2GZqIWqJ/tWhuaew==" spinCount="100000" sheet="1" objects="1" scenarios="1"/>
  <mergeCells count="40">
    <mergeCell ref="C4:D4"/>
    <mergeCell ref="A4:B4"/>
    <mergeCell ref="A1:B1"/>
    <mergeCell ref="C1:D1"/>
    <mergeCell ref="A2:B2"/>
    <mergeCell ref="C2:D2"/>
    <mergeCell ref="A3:B3"/>
    <mergeCell ref="C3:D3"/>
    <mergeCell ref="A31:A33"/>
    <mergeCell ref="B31:D32"/>
    <mergeCell ref="B33:D33"/>
    <mergeCell ref="A11:E11"/>
    <mergeCell ref="A12:C12"/>
    <mergeCell ref="A14:A17"/>
    <mergeCell ref="B14:B17"/>
    <mergeCell ref="D14:D17"/>
    <mergeCell ref="E14:E17"/>
    <mergeCell ref="A19:A20"/>
    <mergeCell ref="C19:C20"/>
    <mergeCell ref="D19:D20"/>
    <mergeCell ref="E19:E20"/>
    <mergeCell ref="A23:A28"/>
    <mergeCell ref="B23:B28"/>
    <mergeCell ref="D23:D28"/>
    <mergeCell ref="A5:B5"/>
    <mergeCell ref="C5:D5"/>
    <mergeCell ref="D12:E12"/>
    <mergeCell ref="A29:E29"/>
    <mergeCell ref="B30:E30"/>
    <mergeCell ref="A8:B8"/>
    <mergeCell ref="C8:D8"/>
    <mergeCell ref="A9:B9"/>
    <mergeCell ref="E23:E28"/>
    <mergeCell ref="C9:D9"/>
    <mergeCell ref="A10:B10"/>
    <mergeCell ref="C10:D10"/>
    <mergeCell ref="A6:B6"/>
    <mergeCell ref="C6:D6"/>
    <mergeCell ref="A7:B7"/>
    <mergeCell ref="C7:D7"/>
  </mergeCells>
  <hyperlinks>
    <hyperlink ref="B81" r:id="rId1" xr:uid="{00000000-0004-0000-0400-000000000000}"/>
  </hyperlinks>
  <pageMargins left="0.25" right="0.25" top="0.75" bottom="0.75" header="0.3" footer="0.3"/>
  <pageSetup paperSize="9" scale="80"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9.9978637043366805E-2"/>
    <pageSetUpPr fitToPage="1"/>
  </sheetPr>
  <dimension ref="A1:E71"/>
  <sheetViews>
    <sheetView workbookViewId="0">
      <selection sqref="A1:B1"/>
    </sheetView>
  </sheetViews>
  <sheetFormatPr defaultRowHeight="12.75" x14ac:dyDescent="0.2"/>
  <cols>
    <col min="1" max="1" width="27.33203125" style="31" customWidth="1"/>
    <col min="2" max="2" width="27" style="31" customWidth="1"/>
    <col min="3" max="3" width="49.83203125" style="31" customWidth="1"/>
    <col min="4" max="4" width="31.6640625" style="31" customWidth="1"/>
    <col min="5" max="5" width="47.5" style="31" customWidth="1"/>
    <col min="6" max="16384" width="9.33203125" style="31"/>
  </cols>
  <sheetData>
    <row r="1" spans="1:5" x14ac:dyDescent="0.2">
      <c r="A1" s="228" t="s">
        <v>229</v>
      </c>
      <c r="B1" s="229"/>
      <c r="C1" s="228" t="s">
        <v>228</v>
      </c>
      <c r="D1" s="229"/>
      <c r="E1" s="114" t="s">
        <v>212</v>
      </c>
    </row>
    <row r="2" spans="1:5" x14ac:dyDescent="0.2">
      <c r="A2" s="189" t="s">
        <v>230</v>
      </c>
      <c r="B2" s="190"/>
      <c r="C2" s="189"/>
      <c r="D2" s="190"/>
      <c r="E2" s="125">
        <v>6</v>
      </c>
    </row>
    <row r="3" spans="1:5" x14ac:dyDescent="0.2">
      <c r="A3" s="231" t="s">
        <v>231</v>
      </c>
      <c r="B3" s="232"/>
      <c r="C3" s="231" t="s">
        <v>234</v>
      </c>
      <c r="D3" s="232"/>
      <c r="E3" s="129">
        <v>3.5</v>
      </c>
    </row>
    <row r="4" spans="1:5" ht="12.75" customHeight="1" x14ac:dyDescent="0.2">
      <c r="A4" s="240" t="s">
        <v>232</v>
      </c>
      <c r="B4" s="241"/>
      <c r="C4" s="240" t="s">
        <v>233</v>
      </c>
      <c r="D4" s="241"/>
      <c r="E4" s="133">
        <v>2.5</v>
      </c>
    </row>
    <row r="5" spans="1:5" x14ac:dyDescent="0.2">
      <c r="A5" s="189" t="s">
        <v>235</v>
      </c>
      <c r="B5" s="190"/>
      <c r="C5" s="187"/>
      <c r="D5" s="188"/>
      <c r="E5" s="125">
        <v>1</v>
      </c>
    </row>
    <row r="6" spans="1:5" x14ac:dyDescent="0.2">
      <c r="A6" s="189" t="s">
        <v>236</v>
      </c>
      <c r="B6" s="190"/>
      <c r="C6" s="189" t="s">
        <v>237</v>
      </c>
      <c r="D6" s="190"/>
      <c r="E6" s="125" t="s">
        <v>238</v>
      </c>
    </row>
    <row r="7" spans="1:5" ht="17.25" customHeight="1" x14ac:dyDescent="0.2">
      <c r="A7" s="189" t="s">
        <v>239</v>
      </c>
      <c r="B7" s="190"/>
      <c r="C7" s="189" t="s">
        <v>240</v>
      </c>
      <c r="D7" s="190"/>
      <c r="E7" s="115" t="s">
        <v>241</v>
      </c>
    </row>
    <row r="8" spans="1:5" x14ac:dyDescent="0.2">
      <c r="A8" s="238" t="s">
        <v>242</v>
      </c>
      <c r="B8" s="200"/>
      <c r="C8" s="238" t="s">
        <v>228</v>
      </c>
      <c r="D8" s="200"/>
      <c r="E8" s="116" t="s">
        <v>212</v>
      </c>
    </row>
    <row r="9" spans="1:5" ht="45.75" customHeight="1" x14ac:dyDescent="0.2">
      <c r="A9" s="201" t="s">
        <v>243</v>
      </c>
      <c r="B9" s="202"/>
      <c r="C9" s="201"/>
      <c r="D9" s="202"/>
      <c r="E9" s="117" t="s">
        <v>244</v>
      </c>
    </row>
    <row r="10" spans="1:5" ht="30" customHeight="1" x14ac:dyDescent="0.2">
      <c r="A10" s="201" t="s">
        <v>245</v>
      </c>
      <c r="B10" s="202"/>
      <c r="C10" s="201" t="s">
        <v>246</v>
      </c>
      <c r="D10" s="202"/>
      <c r="E10" s="117" t="s">
        <v>247</v>
      </c>
    </row>
    <row r="11" spans="1:5" x14ac:dyDescent="0.2">
      <c r="A11" s="239" t="s">
        <v>248</v>
      </c>
      <c r="B11" s="216"/>
      <c r="C11" s="216"/>
      <c r="D11" s="217"/>
      <c r="E11" s="218"/>
    </row>
    <row r="12" spans="1:5" ht="12.75" customHeight="1" x14ac:dyDescent="0.2">
      <c r="A12" s="239" t="s">
        <v>249</v>
      </c>
      <c r="B12" s="216"/>
      <c r="C12" s="216"/>
      <c r="D12" s="191" t="s">
        <v>250</v>
      </c>
      <c r="E12" s="192"/>
    </row>
    <row r="13" spans="1:5" ht="15" customHeight="1" x14ac:dyDescent="0.2">
      <c r="A13" s="134" t="s">
        <v>251</v>
      </c>
      <c r="B13" s="118" t="s">
        <v>212</v>
      </c>
      <c r="C13" s="135" t="s">
        <v>252</v>
      </c>
      <c r="D13" s="123" t="s">
        <v>253</v>
      </c>
      <c r="E13" s="123" t="s">
        <v>254</v>
      </c>
    </row>
    <row r="14" spans="1:5" ht="13.5" customHeight="1" x14ac:dyDescent="0.2">
      <c r="A14" s="219" t="s">
        <v>255</v>
      </c>
      <c r="B14" s="219" t="s">
        <v>256</v>
      </c>
      <c r="C14" s="120" t="s">
        <v>257</v>
      </c>
      <c r="D14" s="220" t="s">
        <v>261</v>
      </c>
      <c r="E14" s="220" t="s">
        <v>262</v>
      </c>
    </row>
    <row r="15" spans="1:5" ht="16.5" customHeight="1" x14ac:dyDescent="0.2">
      <c r="A15" s="220"/>
      <c r="B15" s="220"/>
      <c r="C15" s="120" t="s">
        <v>258</v>
      </c>
      <c r="D15" s="220"/>
      <c r="E15" s="220"/>
    </row>
    <row r="16" spans="1:5" ht="18.75" customHeight="1" x14ac:dyDescent="0.2">
      <c r="A16" s="220"/>
      <c r="B16" s="220"/>
      <c r="C16" s="120" t="s">
        <v>259</v>
      </c>
      <c r="D16" s="220"/>
      <c r="E16" s="220"/>
    </row>
    <row r="17" spans="1:5" ht="16.5" customHeight="1" x14ac:dyDescent="0.2">
      <c r="A17" s="221"/>
      <c r="B17" s="221"/>
      <c r="C17" s="120" t="s">
        <v>260</v>
      </c>
      <c r="D17" s="221"/>
      <c r="E17" s="221"/>
    </row>
    <row r="18" spans="1:5" ht="14.25" customHeight="1" x14ac:dyDescent="0.2">
      <c r="A18" s="121" t="s">
        <v>187</v>
      </c>
      <c r="B18" s="121" t="s">
        <v>267</v>
      </c>
      <c r="C18" s="121"/>
      <c r="D18" s="121"/>
      <c r="E18" s="121" t="s">
        <v>268</v>
      </c>
    </row>
    <row r="19" spans="1:5" ht="27.75" customHeight="1" x14ac:dyDescent="0.2">
      <c r="A19" s="219" t="s">
        <v>263</v>
      </c>
      <c r="B19" s="120" t="s">
        <v>264</v>
      </c>
      <c r="C19" s="222"/>
      <c r="D19" s="219" t="s">
        <v>266</v>
      </c>
      <c r="E19" s="222" t="s">
        <v>269</v>
      </c>
    </row>
    <row r="20" spans="1:5" ht="51" customHeight="1" x14ac:dyDescent="0.2">
      <c r="A20" s="221"/>
      <c r="B20" s="120" t="s">
        <v>265</v>
      </c>
      <c r="C20" s="223"/>
      <c r="D20" s="221"/>
      <c r="E20" s="223"/>
    </row>
    <row r="21" spans="1:5" ht="15" customHeight="1" x14ac:dyDescent="0.2">
      <c r="A21" s="121" t="s">
        <v>193</v>
      </c>
      <c r="B21" s="121" t="s">
        <v>267</v>
      </c>
      <c r="C21" s="121"/>
      <c r="D21" s="121"/>
      <c r="E21" s="121" t="s">
        <v>270</v>
      </c>
    </row>
    <row r="22" spans="1:5" ht="31.5" customHeight="1" x14ac:dyDescent="0.2">
      <c r="A22" s="124" t="s">
        <v>195</v>
      </c>
      <c r="B22" s="124" t="s">
        <v>271</v>
      </c>
      <c r="C22" s="124"/>
      <c r="D22" s="124" t="s">
        <v>266</v>
      </c>
      <c r="E22" s="124" t="s">
        <v>256</v>
      </c>
    </row>
    <row r="23" spans="1:5" ht="14.25" customHeight="1" x14ac:dyDescent="0.2">
      <c r="A23" s="224" t="s">
        <v>272</v>
      </c>
      <c r="B23" s="224" t="s">
        <v>273</v>
      </c>
      <c r="C23" s="121" t="s">
        <v>274</v>
      </c>
      <c r="D23" s="224" t="s">
        <v>266</v>
      </c>
      <c r="E23" s="130" t="s">
        <v>280</v>
      </c>
    </row>
    <row r="24" spans="1:5" ht="15" customHeight="1" x14ac:dyDescent="0.2">
      <c r="A24" s="225"/>
      <c r="B24" s="225"/>
      <c r="C24" s="121" t="s">
        <v>275</v>
      </c>
      <c r="D24" s="225"/>
      <c r="E24" s="131" t="s">
        <v>281</v>
      </c>
    </row>
    <row r="25" spans="1:5" ht="16.5" customHeight="1" x14ac:dyDescent="0.2">
      <c r="A25" s="225"/>
      <c r="B25" s="225"/>
      <c r="C25" s="121" t="s">
        <v>276</v>
      </c>
      <c r="D25" s="225"/>
      <c r="E25" s="131" t="s">
        <v>282</v>
      </c>
    </row>
    <row r="26" spans="1:5" ht="15.75" customHeight="1" x14ac:dyDescent="0.2">
      <c r="A26" s="225"/>
      <c r="B26" s="225"/>
      <c r="C26" s="121" t="s">
        <v>277</v>
      </c>
      <c r="D26" s="225"/>
      <c r="E26" s="131" t="s">
        <v>283</v>
      </c>
    </row>
    <row r="27" spans="1:5" ht="16.5" customHeight="1" x14ac:dyDescent="0.2">
      <c r="A27" s="225"/>
      <c r="B27" s="225"/>
      <c r="C27" s="121" t="s">
        <v>278</v>
      </c>
      <c r="D27" s="225"/>
      <c r="E27" s="131" t="s">
        <v>284</v>
      </c>
    </row>
    <row r="28" spans="1:5" ht="42.75" customHeight="1" x14ac:dyDescent="0.2">
      <c r="A28" s="226"/>
      <c r="B28" s="226"/>
      <c r="C28" s="121" t="s">
        <v>279</v>
      </c>
      <c r="D28" s="226"/>
      <c r="E28" s="132" t="s">
        <v>285</v>
      </c>
    </row>
    <row r="29" spans="1:5" x14ac:dyDescent="0.2">
      <c r="A29" s="237" t="s">
        <v>286</v>
      </c>
      <c r="B29" s="194"/>
      <c r="C29" s="194"/>
      <c r="D29" s="194"/>
      <c r="E29" s="195"/>
    </row>
    <row r="30" spans="1:5" ht="26.25" customHeight="1" x14ac:dyDescent="0.2">
      <c r="A30" s="122" t="s">
        <v>287</v>
      </c>
      <c r="B30" s="196" t="s">
        <v>288</v>
      </c>
      <c r="C30" s="197"/>
      <c r="D30" s="197"/>
      <c r="E30" s="198"/>
    </row>
    <row r="31" spans="1:5" ht="28.5" customHeight="1" x14ac:dyDescent="0.2">
      <c r="A31" s="206" t="s">
        <v>294</v>
      </c>
      <c r="B31" s="209" t="s">
        <v>289</v>
      </c>
      <c r="C31" s="210"/>
      <c r="D31" s="211"/>
      <c r="E31" s="122" t="s">
        <v>291</v>
      </c>
    </row>
    <row r="32" spans="1:5" ht="27" customHeight="1" x14ac:dyDescent="0.2">
      <c r="A32" s="207"/>
      <c r="B32" s="212"/>
      <c r="C32" s="213"/>
      <c r="D32" s="214"/>
      <c r="E32" s="122" t="s">
        <v>292</v>
      </c>
    </row>
    <row r="33" spans="1:5" x14ac:dyDescent="0.2">
      <c r="A33" s="208"/>
      <c r="B33" s="196" t="s">
        <v>290</v>
      </c>
      <c r="C33" s="197"/>
      <c r="D33" s="198"/>
      <c r="E33" s="122" t="s">
        <v>293</v>
      </c>
    </row>
    <row r="34" spans="1:5" x14ac:dyDescent="0.2">
      <c r="A34" s="113" t="s">
        <v>299</v>
      </c>
    </row>
    <row r="35" spans="1:5" ht="25.5" customHeight="1" x14ac:dyDescent="0.2">
      <c r="A35" s="233" t="s">
        <v>297</v>
      </c>
      <c r="B35" s="233"/>
      <c r="C35" s="233"/>
      <c r="D35" s="233"/>
      <c r="E35" s="233"/>
    </row>
    <row r="37" spans="1:5" ht="25.5" customHeight="1" x14ac:dyDescent="0.2">
      <c r="A37" s="233" t="s">
        <v>298</v>
      </c>
      <c r="B37" s="233"/>
      <c r="C37" s="233"/>
      <c r="D37" s="233"/>
      <c r="E37" s="233"/>
    </row>
    <row r="39" spans="1:5" x14ac:dyDescent="0.2">
      <c r="A39" s="235" t="s">
        <v>300</v>
      </c>
      <c r="B39" s="235"/>
      <c r="C39" s="235"/>
      <c r="D39" s="235"/>
      <c r="E39" s="235"/>
    </row>
    <row r="41" spans="1:5" x14ac:dyDescent="0.2">
      <c r="A41" s="235" t="s">
        <v>301</v>
      </c>
      <c r="B41" s="235"/>
      <c r="C41" s="235"/>
      <c r="D41" s="235"/>
      <c r="E41" s="235"/>
    </row>
    <row r="43" spans="1:5" x14ac:dyDescent="0.2">
      <c r="A43" s="235" t="s">
        <v>313</v>
      </c>
      <c r="B43" s="235"/>
      <c r="C43" s="235"/>
      <c r="D43" s="235"/>
      <c r="E43" s="235"/>
    </row>
    <row r="45" spans="1:5" x14ac:dyDescent="0.2">
      <c r="A45" s="234" t="s">
        <v>295</v>
      </c>
      <c r="B45" s="234"/>
      <c r="C45" s="234"/>
      <c r="D45" s="234"/>
      <c r="E45" s="234"/>
    </row>
    <row r="47" spans="1:5" ht="25.5" customHeight="1" x14ac:dyDescent="0.2">
      <c r="A47" s="233" t="s">
        <v>302</v>
      </c>
      <c r="B47" s="233"/>
      <c r="C47" s="233"/>
      <c r="D47" s="233"/>
      <c r="E47" s="233"/>
    </row>
    <row r="49" spans="1:5" x14ac:dyDescent="0.2">
      <c r="A49" s="235" t="s">
        <v>303</v>
      </c>
      <c r="B49" s="235"/>
      <c r="C49" s="235"/>
      <c r="D49" s="235"/>
      <c r="E49" s="235"/>
    </row>
    <row r="51" spans="1:5" x14ac:dyDescent="0.2">
      <c r="A51" s="235" t="s">
        <v>304</v>
      </c>
      <c r="B51" s="235"/>
      <c r="C51" s="235"/>
      <c r="D51" s="235"/>
      <c r="E51" s="235"/>
    </row>
    <row r="53" spans="1:5" ht="25.5" customHeight="1" x14ac:dyDescent="0.2">
      <c r="A53" s="233" t="s">
        <v>305</v>
      </c>
      <c r="B53" s="233"/>
      <c r="C53" s="233"/>
      <c r="D53" s="233"/>
      <c r="E53" s="233"/>
    </row>
    <row r="55" spans="1:5" ht="25.5" customHeight="1" x14ac:dyDescent="0.2">
      <c r="A55" s="233" t="s">
        <v>306</v>
      </c>
      <c r="B55" s="233"/>
      <c r="C55" s="233"/>
      <c r="D55" s="233"/>
      <c r="E55" s="233"/>
    </row>
    <row r="57" spans="1:5" x14ac:dyDescent="0.2">
      <c r="A57" s="235" t="s">
        <v>307</v>
      </c>
      <c r="B57" s="235"/>
      <c r="C57" s="235"/>
      <c r="D57" s="235"/>
      <c r="E57" s="235"/>
    </row>
    <row r="59" spans="1:5" ht="25.5" customHeight="1" x14ac:dyDescent="0.2">
      <c r="A59" s="233" t="s">
        <v>308</v>
      </c>
      <c r="B59" s="233"/>
      <c r="C59" s="233"/>
      <c r="D59" s="233"/>
      <c r="E59" s="233"/>
    </row>
    <row r="61" spans="1:5" ht="27" customHeight="1" x14ac:dyDescent="0.2">
      <c r="A61" s="233" t="s">
        <v>309</v>
      </c>
      <c r="B61" s="233"/>
      <c r="C61" s="233"/>
      <c r="D61" s="233"/>
      <c r="E61" s="233"/>
    </row>
    <row r="63" spans="1:5" ht="24.75" customHeight="1" x14ac:dyDescent="0.2">
      <c r="A63" s="233" t="s">
        <v>310</v>
      </c>
      <c r="B63" s="233"/>
      <c r="C63" s="233"/>
      <c r="D63" s="233"/>
      <c r="E63" s="233"/>
    </row>
    <row r="65" spans="1:5" ht="24" customHeight="1" x14ac:dyDescent="0.2">
      <c r="A65" s="233" t="s">
        <v>296</v>
      </c>
      <c r="B65" s="233"/>
      <c r="C65" s="233"/>
      <c r="D65" s="233"/>
      <c r="E65" s="233"/>
    </row>
    <row r="67" spans="1:5" ht="27" customHeight="1" x14ac:dyDescent="0.2">
      <c r="A67" s="233" t="s">
        <v>311</v>
      </c>
      <c r="B67" s="233"/>
      <c r="C67" s="233"/>
      <c r="D67" s="233"/>
      <c r="E67" s="233"/>
    </row>
    <row r="69" spans="1:5" x14ac:dyDescent="0.2">
      <c r="A69" s="235" t="s">
        <v>312</v>
      </c>
      <c r="B69" s="235"/>
      <c r="C69" s="235"/>
      <c r="D69" s="235"/>
      <c r="E69" s="235"/>
    </row>
    <row r="71" spans="1:5" x14ac:dyDescent="0.2">
      <c r="A71" s="31" t="s">
        <v>224</v>
      </c>
      <c r="B71" s="236" t="s">
        <v>225</v>
      </c>
      <c r="C71" s="236"/>
      <c r="D71" s="236"/>
      <c r="E71" s="236"/>
    </row>
  </sheetData>
  <sheetProtection algorithmName="SHA-512" hashValue="uugWn4bW41/5oTz2w/O3QRZuJKtux9/QVq1HFC0tJpjB5O7yimQU90ZLLIVxn33hDDroQ2SJwVNOElGRj/I14A==" saltValue="KV2H5xFxRgK7OvKI4IThOQ==" spinCount="100000" sheet="1" objects="1" scenarios="1"/>
  <mergeCells count="58">
    <mergeCell ref="C7:D7"/>
    <mergeCell ref="A1:B1"/>
    <mergeCell ref="C1:D1"/>
    <mergeCell ref="A2:B2"/>
    <mergeCell ref="C2:D2"/>
    <mergeCell ref="A3:B3"/>
    <mergeCell ref="C3:D3"/>
    <mergeCell ref="A4:B4"/>
    <mergeCell ref="C4:D4"/>
    <mergeCell ref="C5:D5"/>
    <mergeCell ref="A5:B5"/>
    <mergeCell ref="A6:B6"/>
    <mergeCell ref="C6:D6"/>
    <mergeCell ref="A7:B7"/>
    <mergeCell ref="E19:E20"/>
    <mergeCell ref="A23:A28"/>
    <mergeCell ref="B23:B28"/>
    <mergeCell ref="D23:D28"/>
    <mergeCell ref="A11:E11"/>
    <mergeCell ref="A12:C12"/>
    <mergeCell ref="D12:E12"/>
    <mergeCell ref="A14:A17"/>
    <mergeCell ref="B14:B17"/>
    <mergeCell ref="D14:D17"/>
    <mergeCell ref="E14:E17"/>
    <mergeCell ref="A19:A20"/>
    <mergeCell ref="C19:C20"/>
    <mergeCell ref="D19:D20"/>
    <mergeCell ref="A8:B8"/>
    <mergeCell ref="C8:D8"/>
    <mergeCell ref="A9:B9"/>
    <mergeCell ref="C9:D9"/>
    <mergeCell ref="A10:B10"/>
    <mergeCell ref="C10:D10"/>
    <mergeCell ref="A35:E35"/>
    <mergeCell ref="A37:E37"/>
    <mergeCell ref="A29:E29"/>
    <mergeCell ref="B30:E30"/>
    <mergeCell ref="A31:A33"/>
    <mergeCell ref="B31:D32"/>
    <mergeCell ref="B33:D33"/>
    <mergeCell ref="B71:E71"/>
    <mergeCell ref="A49:E49"/>
    <mergeCell ref="A51:E51"/>
    <mergeCell ref="A53:E53"/>
    <mergeCell ref="A55:E55"/>
    <mergeCell ref="A57:E57"/>
    <mergeCell ref="A59:E59"/>
    <mergeCell ref="A61:E61"/>
    <mergeCell ref="A63:E63"/>
    <mergeCell ref="A65:E65"/>
    <mergeCell ref="A67:E67"/>
    <mergeCell ref="A69:E69"/>
    <mergeCell ref="A47:E47"/>
    <mergeCell ref="A45:E45"/>
    <mergeCell ref="A43:E43"/>
    <mergeCell ref="A41:E41"/>
    <mergeCell ref="A39:E39"/>
  </mergeCells>
  <hyperlinks>
    <hyperlink ref="B71" r:id="rId1" xr:uid="{00000000-0004-0000-0500-000000000000}"/>
  </hyperlinks>
  <pageMargins left="0.25" right="0.25" top="0.75" bottom="0.75" header="0.3" footer="0.3"/>
  <pageSetup paperSize="9" scale="74"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13</vt:i4>
      </vt:variant>
    </vt:vector>
  </HeadingPairs>
  <TitlesOfParts>
    <vt:vector size="19" baseType="lpstr">
      <vt:lpstr>1-UR-h-registration-summary</vt:lpstr>
      <vt:lpstr>2-Medicine</vt:lpstr>
      <vt:lpstr>3-Odont-HumBio-MolBio-NeuroSci</vt:lpstr>
      <vt:lpstr>4-MedTek-ITS-FSV-Farm</vt:lpstr>
      <vt:lpstr>5-UR-h-norm-catalogue-DK</vt:lpstr>
      <vt:lpstr>6-UR-h-norm-catalogue-UK</vt:lpstr>
      <vt:lpstr>'3-Odont-HumBio-MolBio-NeuroSci'!AKTIVITET</vt:lpstr>
      <vt:lpstr>'4-MedTek-ITS-FSV-Farm'!AKTIVITET</vt:lpstr>
      <vt:lpstr>AKTIVITET</vt:lpstr>
      <vt:lpstr>'1-UR-h-registration-summary'!Print_Area</vt:lpstr>
      <vt:lpstr>'2-Medicine'!Print_Area</vt:lpstr>
      <vt:lpstr>'3-Odont-HumBio-MolBio-NeuroSci'!Print_Area</vt:lpstr>
      <vt:lpstr>'4-MedTek-ITS-FSV-Farm'!Print_Area</vt:lpstr>
      <vt:lpstr>'5-UR-h-norm-catalogue-DK'!Print_Area</vt:lpstr>
      <vt:lpstr>'6-UR-h-norm-catalogue-UK'!Print_Area</vt:lpstr>
      <vt:lpstr>'1-UR-h-registration-summary'!VEJLEDNING</vt:lpstr>
      <vt:lpstr>'3-Odont-HumBio-MolBio-NeuroSci'!VEJLEDNING</vt:lpstr>
      <vt:lpstr>'4-MedTek-ITS-FSV-Farm'!VEJLEDNING</vt:lpstr>
      <vt:lpstr>VEJLEDNING</vt:lpstr>
    </vt:vector>
  </TitlesOfParts>
  <Company>Medicinsk Fysiologisk Inst.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Jesper Brahm</dc:creator>
  <cp:lastModifiedBy>Jesper Brahm</cp:lastModifiedBy>
  <cp:lastPrinted>2022-03-07T08:08:55Z</cp:lastPrinted>
  <dcterms:created xsi:type="dcterms:W3CDTF">2002-12-02T13:48:19Z</dcterms:created>
  <dcterms:modified xsi:type="dcterms:W3CDTF">2024-04-09T06:39:50Z</dcterms:modified>
</cp:coreProperties>
</file>